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S:\福祉保健部\保険年金課\■　国　保　■\▼　賦　　　　課　▼\試算シート\令和８年度試算シート※準備中\"/>
    </mc:Choice>
  </mc:AlternateContent>
  <xr:revisionPtr revIDLastSave="0" documentId="13_ncr:1_{2990E802-6746-4EE7-A3F6-F9DC11F48FD1}" xr6:coauthVersionLast="47" xr6:coauthVersionMax="47" xr10:uidLastSave="{00000000-0000-0000-0000-000000000000}"/>
  <bookViews>
    <workbookView xWindow="7170" yWindow="1440" windowWidth="20265" windowHeight="18015" xr2:uid="{00000000-000D-0000-FFFF-FFFF00000000}"/>
  </bookViews>
  <sheets>
    <sheet name="試算シート" sheetId="3" r:id="rId1"/>
    <sheet name="税額計算" sheetId="2" r:id="rId2"/>
  </sheets>
  <externalReferences>
    <externalReference r:id="rId3"/>
  </externalReferences>
  <definedNames>
    <definedName name="__xlfn_FILTERXML">#N/A</definedName>
    <definedName name="_xlnm.Print_Area" localSheetId="0">試算シート!$B$67:$AA$105</definedName>
    <definedName name="年齢" localSheetId="0">[1]税額計算!#REF!</definedName>
    <definedName name="年齢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7" i="2" l="1"/>
  <c r="Z77" i="3" l="1"/>
  <c r="Z76" i="3"/>
  <c r="Z75" i="3"/>
  <c r="Z74" i="3"/>
  <c r="Z73" i="3"/>
  <c r="G10" i="2" l="1"/>
  <c r="G11" i="2" l="1"/>
  <c r="J17" i="2"/>
  <c r="I17" i="2"/>
  <c r="H17" i="2"/>
  <c r="G17" i="2"/>
  <c r="P82" i="3"/>
  <c r="K65" i="2" l="1"/>
  <c r="J65" i="2"/>
  <c r="I65" i="2"/>
  <c r="H65" i="2"/>
  <c r="G65" i="2"/>
  <c r="K73" i="3" s="1"/>
  <c r="K40" i="2"/>
  <c r="J40" i="2"/>
  <c r="I40" i="2"/>
  <c r="H40" i="2"/>
  <c r="G40" i="2"/>
  <c r="K16" i="2"/>
  <c r="J16" i="2"/>
  <c r="I16" i="2"/>
  <c r="H16" i="2"/>
  <c r="G16" i="2"/>
  <c r="K11" i="2"/>
  <c r="J11" i="2"/>
  <c r="I11" i="2"/>
  <c r="H11" i="2"/>
  <c r="K10" i="2"/>
  <c r="J10" i="2"/>
  <c r="I10" i="2"/>
  <c r="H10" i="2"/>
  <c r="E73" i="3"/>
  <c r="C77" i="3"/>
  <c r="P98" i="3" s="1"/>
  <c r="C76" i="3"/>
  <c r="P94" i="3" s="1"/>
  <c r="C75" i="3"/>
  <c r="P90" i="3" s="1"/>
  <c r="C74" i="3"/>
  <c r="P86" i="3" s="1"/>
  <c r="U68" i="3"/>
  <c r="G19" i="2" l="1"/>
  <c r="G24" i="2"/>
  <c r="H19" i="2"/>
  <c r="H24" i="2"/>
  <c r="I19" i="2"/>
  <c r="I24" i="2"/>
  <c r="J19" i="2"/>
  <c r="J24" i="2"/>
  <c r="K19" i="2"/>
  <c r="K24" i="2"/>
  <c r="J21" i="2"/>
  <c r="I22" i="2"/>
  <c r="J120" i="2"/>
  <c r="K39" i="2"/>
  <c r="I39" i="2"/>
  <c r="H22" i="2"/>
  <c r="J23" i="2"/>
  <c r="I12" i="2"/>
  <c r="J57" i="2"/>
  <c r="J55" i="2"/>
  <c r="J53" i="2"/>
  <c r="J51" i="2"/>
  <c r="J49" i="2"/>
  <c r="J47" i="2"/>
  <c r="J45" i="2"/>
  <c r="J58" i="2"/>
  <c r="J56" i="2"/>
  <c r="J54" i="2"/>
  <c r="J52" i="2"/>
  <c r="J50" i="2"/>
  <c r="J48" i="2"/>
  <c r="J46" i="2"/>
  <c r="J44" i="2"/>
  <c r="K12" i="2"/>
  <c r="J12" i="2"/>
  <c r="K57" i="2"/>
  <c r="K55" i="2"/>
  <c r="K53" i="2"/>
  <c r="K51" i="2"/>
  <c r="K49" i="2"/>
  <c r="K47" i="2"/>
  <c r="K45" i="2"/>
  <c r="K58" i="2"/>
  <c r="K56" i="2"/>
  <c r="K54" i="2"/>
  <c r="K52" i="2"/>
  <c r="K50" i="2"/>
  <c r="K48" i="2"/>
  <c r="K46" i="2"/>
  <c r="K44" i="2"/>
  <c r="E77" i="3"/>
  <c r="J25" i="2"/>
  <c r="K25" i="2"/>
  <c r="E75" i="3"/>
  <c r="I75" i="3" s="1"/>
  <c r="I57" i="2"/>
  <c r="I53" i="2"/>
  <c r="I49" i="2"/>
  <c r="I45" i="2"/>
  <c r="I56" i="2"/>
  <c r="I52" i="2"/>
  <c r="I48" i="2"/>
  <c r="I44" i="2"/>
  <c r="I55" i="2"/>
  <c r="I54" i="2"/>
  <c r="I50" i="2"/>
  <c r="I51" i="2"/>
  <c r="I47" i="2"/>
  <c r="I58" i="2"/>
  <c r="I46" i="2"/>
  <c r="H20" i="2"/>
  <c r="H23" i="2"/>
  <c r="H21" i="2"/>
  <c r="G55" i="2"/>
  <c r="G50" i="2"/>
  <c r="G46" i="2"/>
  <c r="G57" i="2"/>
  <c r="G53" i="2"/>
  <c r="G49" i="2"/>
  <c r="G45" i="2"/>
  <c r="G56" i="2"/>
  <c r="G52" i="2"/>
  <c r="G44" i="2"/>
  <c r="G48" i="2"/>
  <c r="E74" i="3"/>
  <c r="I74" i="3" s="1"/>
  <c r="H58" i="2"/>
  <c r="H50" i="2"/>
  <c r="H46" i="2"/>
  <c r="H57" i="2"/>
  <c r="H53" i="2"/>
  <c r="H49" i="2"/>
  <c r="H45" i="2"/>
  <c r="H56" i="2"/>
  <c r="H52" i="2"/>
  <c r="H48" i="2"/>
  <c r="H44" i="2"/>
  <c r="H55" i="2"/>
  <c r="G73" i="3"/>
  <c r="G25" i="2"/>
  <c r="I25" i="2"/>
  <c r="I23" i="2"/>
  <c r="H25" i="2"/>
  <c r="G39" i="2"/>
  <c r="J20" i="2"/>
  <c r="G12" i="2"/>
  <c r="I73" i="3"/>
  <c r="I20" i="2"/>
  <c r="H12" i="2"/>
  <c r="J39" i="2"/>
  <c r="E76" i="3"/>
  <c r="J22" i="2"/>
  <c r="I21" i="2"/>
  <c r="F80" i="2"/>
  <c r="F78" i="2"/>
  <c r="K23" i="2"/>
  <c r="G23" i="2"/>
  <c r="K20" i="2"/>
  <c r="G20" i="2"/>
  <c r="F79" i="2"/>
  <c r="H39" i="2"/>
  <c r="K22" i="2"/>
  <c r="G22" i="2"/>
  <c r="K21" i="2"/>
  <c r="G21" i="2"/>
  <c r="H26" i="2" l="1"/>
  <c r="H28" i="2" s="1"/>
  <c r="H29" i="2" s="1"/>
  <c r="K26" i="2"/>
  <c r="J26" i="2"/>
  <c r="J28" i="2" s="1"/>
  <c r="J31" i="2" s="1"/>
  <c r="I26" i="2"/>
  <c r="I28" i="2" s="1"/>
  <c r="I29" i="2" s="1"/>
  <c r="G26" i="2"/>
  <c r="G28" i="2" s="1"/>
  <c r="G30" i="2" s="1"/>
  <c r="K74" i="3"/>
  <c r="K75" i="3"/>
  <c r="G75" i="3"/>
  <c r="K77" i="3"/>
  <c r="G77" i="3"/>
  <c r="I77" i="3"/>
  <c r="G74" i="3"/>
  <c r="K76" i="3"/>
  <c r="I76" i="3"/>
  <c r="G76" i="3"/>
  <c r="I30" i="2" l="1"/>
  <c r="H30" i="2"/>
  <c r="H47" i="2" s="1"/>
  <c r="H31" i="2"/>
  <c r="J29" i="2"/>
  <c r="J30" i="2"/>
  <c r="I31" i="2"/>
  <c r="G31" i="2"/>
  <c r="G29" i="2"/>
  <c r="G58" i="2" s="1"/>
  <c r="K28" i="2"/>
  <c r="H54" i="2" l="1"/>
  <c r="I43" i="2"/>
  <c r="I59" i="2" s="1"/>
  <c r="I34" i="2" s="1"/>
  <c r="I35" i="2" s="1"/>
  <c r="I36" i="2" s="1"/>
  <c r="I13" i="2" s="1"/>
  <c r="G47" i="2"/>
  <c r="G54" i="2"/>
  <c r="H51" i="2"/>
  <c r="G51" i="2"/>
  <c r="H43" i="2"/>
  <c r="J43" i="2"/>
  <c r="J59" i="2" s="1"/>
  <c r="G43" i="2"/>
  <c r="K30" i="2"/>
  <c r="K31" i="2"/>
  <c r="K29" i="2"/>
  <c r="G59" i="2" l="1"/>
  <c r="G62" i="2" s="1"/>
  <c r="H59" i="2"/>
  <c r="H62" i="2" s="1"/>
  <c r="I62" i="2"/>
  <c r="I71" i="2" s="1"/>
  <c r="Q75" i="3" s="1"/>
  <c r="K43" i="2"/>
  <c r="K59" i="2" s="1"/>
  <c r="K34" i="2" s="1"/>
  <c r="K35" i="2" s="1"/>
  <c r="K36" i="2" s="1"/>
  <c r="K13" i="2" s="1"/>
  <c r="I68" i="2"/>
  <c r="J62" i="2"/>
  <c r="J34" i="2"/>
  <c r="J35" i="2" s="1"/>
  <c r="J36" i="2" s="1"/>
  <c r="J13" i="2" s="1"/>
  <c r="M75" i="3" l="1"/>
  <c r="I117" i="2"/>
  <c r="I118" i="2" s="1"/>
  <c r="I119" i="2" s="1"/>
  <c r="G34" i="2"/>
  <c r="G35" i="2" s="1"/>
  <c r="G36" i="2" s="1"/>
  <c r="H34" i="2"/>
  <c r="H35" i="2" s="1"/>
  <c r="H36" i="2" s="1"/>
  <c r="H13" i="2" s="1"/>
  <c r="I95" i="2"/>
  <c r="I96" i="2" s="1"/>
  <c r="I97" i="2" s="1"/>
  <c r="I106" i="2"/>
  <c r="I107" i="2" s="1"/>
  <c r="I108" i="2" s="1"/>
  <c r="I84" i="2"/>
  <c r="I85" i="2" s="1"/>
  <c r="O75" i="3" s="1"/>
  <c r="K62" i="2"/>
  <c r="K71" i="2" s="1"/>
  <c r="Q77" i="3" s="1"/>
  <c r="J71" i="2"/>
  <c r="Q76" i="3" s="1"/>
  <c r="J68" i="2"/>
  <c r="K68" i="2"/>
  <c r="M77" i="3" l="1"/>
  <c r="K117" i="2"/>
  <c r="K118" i="2" s="1"/>
  <c r="K119" i="2" s="1"/>
  <c r="M76" i="3"/>
  <c r="J117" i="2"/>
  <c r="J118" i="2" s="1"/>
  <c r="J119" i="2" s="1"/>
  <c r="J121" i="2" s="1"/>
  <c r="T97" i="3" s="1"/>
  <c r="G13" i="2"/>
  <c r="H78" i="2" s="1"/>
  <c r="H79" i="2" s="1"/>
  <c r="I79" i="2" s="1"/>
  <c r="G71" i="2"/>
  <c r="G68" i="2"/>
  <c r="H71" i="2"/>
  <c r="Q74" i="3" s="1"/>
  <c r="H68" i="2"/>
  <c r="I86" i="2"/>
  <c r="I129" i="2" s="1"/>
  <c r="J95" i="2"/>
  <c r="J96" i="2" s="1"/>
  <c r="J97" i="2" s="1"/>
  <c r="J84" i="2"/>
  <c r="J85" i="2" s="1"/>
  <c r="J106" i="2"/>
  <c r="J107" i="2" s="1"/>
  <c r="J108" i="2" s="1"/>
  <c r="K84" i="2"/>
  <c r="K85" i="2" s="1"/>
  <c r="O77" i="3" s="1"/>
  <c r="K106" i="2"/>
  <c r="K107" i="2" s="1"/>
  <c r="K108" i="2" s="1"/>
  <c r="K95" i="2"/>
  <c r="K96" i="2" s="1"/>
  <c r="K97" i="2" s="1"/>
  <c r="M74" i="3" l="1"/>
  <c r="H117" i="2"/>
  <c r="H118" i="2" s="1"/>
  <c r="H119" i="2" s="1"/>
  <c r="M73" i="3"/>
  <c r="G117" i="2"/>
  <c r="G118" i="2" s="1"/>
  <c r="G119" i="2" s="1"/>
  <c r="G73" i="2"/>
  <c r="Q73" i="3"/>
  <c r="H80" i="2"/>
  <c r="I80" i="2" s="1"/>
  <c r="I78" i="2"/>
  <c r="H106" i="2"/>
  <c r="H107" i="2" s="1"/>
  <c r="H108" i="2" s="1"/>
  <c r="H95" i="2"/>
  <c r="H96" i="2" s="1"/>
  <c r="H97" i="2" s="1"/>
  <c r="H84" i="2"/>
  <c r="H85" i="2" s="1"/>
  <c r="O74" i="3" s="1"/>
  <c r="G84" i="2"/>
  <c r="G85" i="2" s="1"/>
  <c r="G95" i="2"/>
  <c r="G96" i="2" s="1"/>
  <c r="G97" i="2" s="1"/>
  <c r="G106" i="2"/>
  <c r="G107" i="2" s="1"/>
  <c r="G108" i="2" s="1"/>
  <c r="J86" i="2"/>
  <c r="J129" i="2" s="1"/>
  <c r="O76" i="3"/>
  <c r="K86" i="2"/>
  <c r="K129" i="2" s="1"/>
  <c r="O73" i="3" l="1"/>
  <c r="G86" i="2"/>
  <c r="G129" i="2" s="1"/>
  <c r="J79" i="2"/>
  <c r="W73" i="3" s="1"/>
  <c r="H86" i="2"/>
  <c r="H129" i="2" s="1"/>
  <c r="K79" i="2" l="1"/>
  <c r="I120" i="2" l="1"/>
  <c r="I121" i="2" s="1"/>
  <c r="T93" i="3" s="1"/>
  <c r="K120" i="2"/>
  <c r="K121" i="2" s="1"/>
  <c r="T101" i="3" s="1"/>
  <c r="G109" i="2"/>
  <c r="G110" i="2" s="1"/>
  <c r="T84" i="3" s="1"/>
  <c r="H120" i="2"/>
  <c r="H121" i="2" s="1"/>
  <c r="T89" i="3" s="1"/>
  <c r="G120" i="2"/>
  <c r="G121" i="2" s="1"/>
  <c r="H98" i="2"/>
  <c r="H99" i="2" s="1"/>
  <c r="T87" i="3" s="1"/>
  <c r="G87" i="2"/>
  <c r="H87" i="2"/>
  <c r="G98" i="2"/>
  <c r="G99" i="2" s="1"/>
  <c r="T83" i="3" s="1"/>
  <c r="K98" i="2"/>
  <c r="K99" i="2" s="1"/>
  <c r="T99" i="3" s="1"/>
  <c r="I109" i="2"/>
  <c r="I110" i="2" s="1"/>
  <c r="T92" i="3" s="1"/>
  <c r="K109" i="2"/>
  <c r="K110" i="2" s="1"/>
  <c r="T100" i="3" s="1"/>
  <c r="J109" i="2"/>
  <c r="J110" i="2" s="1"/>
  <c r="T96" i="3" s="1"/>
  <c r="H109" i="2"/>
  <c r="H110" i="2" s="1"/>
  <c r="T88" i="3" s="1"/>
  <c r="I98" i="2"/>
  <c r="I99" i="2" s="1"/>
  <c r="T91" i="3" s="1"/>
  <c r="K87" i="2"/>
  <c r="I87" i="2"/>
  <c r="J98" i="2"/>
  <c r="J99" i="2" s="1"/>
  <c r="T95" i="3" s="1"/>
  <c r="J87" i="2"/>
  <c r="G122" i="2" l="1"/>
  <c r="G123" i="2" s="1"/>
  <c r="T85" i="3"/>
  <c r="G130" i="2"/>
  <c r="G131" i="2" s="1"/>
  <c r="S73" i="3" s="1"/>
  <c r="H130" i="2"/>
  <c r="H131" i="2" s="1"/>
  <c r="V86" i="3" s="1"/>
  <c r="K88" i="2"/>
  <c r="T98" i="3" s="1"/>
  <c r="K130" i="2"/>
  <c r="K131" i="2" s="1"/>
  <c r="V98" i="3" s="1"/>
  <c r="J88" i="2"/>
  <c r="T94" i="3" s="1"/>
  <c r="J130" i="2"/>
  <c r="J131" i="2" s="1"/>
  <c r="V94" i="3" s="1"/>
  <c r="I88" i="2"/>
  <c r="T90" i="3" s="1"/>
  <c r="I130" i="2"/>
  <c r="I131" i="2" s="1"/>
  <c r="V90" i="3" s="1"/>
  <c r="H88" i="2"/>
  <c r="T86" i="3" s="1"/>
  <c r="G111" i="2"/>
  <c r="G112" i="2" s="1"/>
  <c r="G114" i="2" s="1"/>
  <c r="G88" i="2"/>
  <c r="T82" i="3" s="1"/>
  <c r="G100" i="2"/>
  <c r="G125" i="2" l="1"/>
  <c r="G124" i="2"/>
  <c r="G101" i="2"/>
  <c r="G102" i="2" s="1"/>
  <c r="S77" i="3"/>
  <c r="S76" i="3"/>
  <c r="G113" i="2"/>
  <c r="S74" i="3"/>
  <c r="S75" i="3"/>
  <c r="G89" i="2"/>
  <c r="G90" i="2" s="1"/>
  <c r="V82" i="3"/>
  <c r="G132" i="2" l="1"/>
  <c r="U73" i="3" s="1"/>
  <c r="G103" i="2"/>
  <c r="G91" i="2"/>
  <c r="G133" i="2" s="1"/>
  <c r="G92" i="2"/>
  <c r="G134" i="2" l="1"/>
  <c r="F80" i="3" s="1"/>
  <c r="G94" i="3" s="1"/>
  <c r="L93" i="3" l="1"/>
  <c r="L95" i="3"/>
  <c r="L96" i="3"/>
  <c r="G96" i="3"/>
  <c r="G95" i="3"/>
  <c r="L94" i="3"/>
  <c r="L80" i="3"/>
  <c r="L87" i="3" s="1"/>
  <c r="L85" i="3" l="1"/>
  <c r="G86" i="3"/>
  <c r="G88" i="3"/>
  <c r="G85" i="3"/>
  <c r="G89" i="3"/>
  <c r="L88" i="3"/>
  <c r="L90" i="3"/>
  <c r="L86" i="3"/>
  <c r="L89" i="3"/>
  <c r="G87" i="3"/>
  <c r="G90" i="3"/>
  <c r="G9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狛江市</author>
    <author>user</author>
  </authors>
  <commentList>
    <comment ref="F59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世帯主の方が国保に加入しない場合、
年齢は空欄のまま収入・所得を入力してください。</t>
        </r>
      </text>
    </comment>
    <comment ref="J59" authorId="1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未就学児（R2.4.2以降生まれ）の場合、✔をつけてください。</t>
        </r>
      </text>
    </comment>
    <comment ref="AB59" authorId="1" shapeId="0" xr:uid="{00000000-0006-0000-0000-000005000000}">
      <text>
        <r>
          <rPr>
            <sz val="9"/>
            <color indexed="81"/>
            <rFont val="MS P ゴシック"/>
            <family val="3"/>
            <charset val="128"/>
          </rPr>
          <t xml:space="preserve">このあたり数式有
</t>
        </r>
      </text>
    </comment>
    <comment ref="J60" authorId="1" shapeId="0" xr:uid="{00000000-0006-0000-0000-000006000000}">
      <text>
        <r>
          <rPr>
            <sz val="9"/>
            <color indexed="81"/>
            <rFont val="MS P ゴシック"/>
            <family val="3"/>
            <charset val="128"/>
          </rPr>
          <t xml:space="preserve">未就学児（Ｈ30.4.2以降生まれ）の場合、✔をつけてください。
</t>
        </r>
      </text>
    </comment>
    <comment ref="J61" authorId="1" shapeId="0" xr:uid="{00000000-0006-0000-0000-000007000000}">
      <text>
        <r>
          <rPr>
            <sz val="9"/>
            <color indexed="81"/>
            <rFont val="MS P ゴシック"/>
            <family val="3"/>
            <charset val="128"/>
          </rPr>
          <t>未就学児（Ｈ30.4.2以降生まれ）の場合、✔をつけてください。</t>
        </r>
      </text>
    </comment>
    <comment ref="J62" authorId="1" shapeId="0" xr:uid="{00000000-0006-0000-0000-000008000000}">
      <text>
        <r>
          <rPr>
            <sz val="9"/>
            <color indexed="81"/>
            <rFont val="MS P ゴシック"/>
            <family val="3"/>
            <charset val="128"/>
          </rPr>
          <t xml:space="preserve">未就学児（Ｈ30.4.2以降生まれ）の場合、✔をつけてください。
</t>
        </r>
      </text>
    </comment>
    <comment ref="J63" authorId="1" shapeId="0" xr:uid="{00000000-0006-0000-0000-000009000000}">
      <text>
        <r>
          <rPr>
            <sz val="9"/>
            <color indexed="81"/>
            <rFont val="MS P ゴシック"/>
            <family val="3"/>
            <charset val="128"/>
          </rPr>
          <t>未就学児（Ｈ30.4.2以降生まれ）の場合、✔をつけてください。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19" authorId="0" shapeId="0" xr:uid="{00000000-0006-0000-0100-000001000000}">
      <text>
        <r>
          <rPr>
            <b/>
            <sz val="8"/>
            <color indexed="81"/>
            <rFont val="MS P ゴシック"/>
            <family val="3"/>
            <charset val="128"/>
          </rPr>
          <t>税法では
1～1,900,000のとき
控除額650,000ですが、
650,000円未満の時には
0より小さくはならないため
650,000未満なら「0」
となるように行を分けました。
※計算式で「650,000未満のときは0」と制御する方が大変だと思います。</t>
        </r>
      </text>
    </comment>
  </commentList>
</comments>
</file>

<file path=xl/sharedStrings.xml><?xml version="1.0" encoding="utf-8"?>
<sst xmlns="http://schemas.openxmlformats.org/spreadsheetml/2006/main" count="285" uniqueCount="148">
  <si>
    <t>年齢</t>
  </si>
  <si>
    <t>世帯主</t>
  </si>
  <si>
    <t>世帯員①</t>
  </si>
  <si>
    <t>世帯員②</t>
  </si>
  <si>
    <t>世帯員③</t>
  </si>
  <si>
    <t>世帯員④</t>
  </si>
  <si>
    <t>軽減判定所得</t>
  </si>
  <si>
    <t>その他所得</t>
  </si>
  <si>
    <t>合計</t>
  </si>
  <si>
    <t>医療分</t>
  </si>
  <si>
    <t>支援分</t>
  </si>
  <si>
    <t>介護分</t>
  </si>
  <si>
    <t>基本項目</t>
  </si>
  <si>
    <t>税率・均等割額・賦課限度額</t>
  </si>
  <si>
    <t>介護分対象者年齢</t>
  </si>
  <si>
    <t>自</t>
  </si>
  <si>
    <t>至</t>
  </si>
  <si>
    <t>介護保険対象</t>
  </si>
  <si>
    <t>所得割率</t>
  </si>
  <si>
    <t>均等割</t>
  </si>
  <si>
    <t>限度額</t>
  </si>
  <si>
    <t>基礎控除</t>
  </si>
  <si>
    <t>被保険者数カウント判定</t>
  </si>
  <si>
    <t>介護分⇒</t>
  </si>
  <si>
    <t>給与所得者判定⇒</t>
  </si>
  <si>
    <t>給与所得①</t>
  </si>
  <si>
    <t>個人別給与収入転記⇒</t>
  </si>
  <si>
    <t>扶養状況転記⇒</t>
  </si>
  <si>
    <t>給与（自）</t>
  </si>
  <si>
    <t>給与（至）</t>
  </si>
  <si>
    <t>所得計算主要係数</t>
  </si>
  <si>
    <t>個人別給与所得計算</t>
  </si>
  <si>
    <t>個人別給与所得①⇒</t>
  </si>
  <si>
    <t>年金以外の合計所得</t>
  </si>
  <si>
    <t>年金所得計算用階層判定</t>
  </si>
  <si>
    <t>年金以外（自）</t>
  </si>
  <si>
    <t>年金以外（至）</t>
  </si>
  <si>
    <t>給与所得②</t>
  </si>
  <si>
    <t>所得金額調整控除　適用条件②判定</t>
  </si>
  <si>
    <t>所得金額調整控除適用条件② 控除額</t>
  </si>
  <si>
    <t>個人別給与所得②⇒</t>
  </si>
  <si>
    <t>年金所得</t>
  </si>
  <si>
    <t>個人別年金収入転記⇒</t>
  </si>
  <si>
    <t>年金控除変更</t>
  </si>
  <si>
    <t>年金特別控除</t>
  </si>
  <si>
    <t>年金（自）</t>
  </si>
  <si>
    <t>年金（至）</t>
  </si>
  <si>
    <t>個人別年金所得計算</t>
  </si>
  <si>
    <t>個人別年金所得⇒</t>
  </si>
  <si>
    <t>軽減判定用年金所得</t>
  </si>
  <si>
    <r>
      <rPr>
        <sz val="11"/>
        <rFont val="DejaVu Sans"/>
        <family val="2"/>
      </rPr>
      <t>軽減判定所得算定用控除額（</t>
    </r>
    <r>
      <rPr>
        <sz val="11"/>
        <rFont val="ＭＳ Ｐゴシック"/>
        <family val="3"/>
        <charset val="128"/>
      </rPr>
      <t>65</t>
    </r>
    <r>
      <rPr>
        <sz val="11"/>
        <rFont val="DejaVu Sans"/>
        <family val="2"/>
      </rPr>
      <t>歳以上）</t>
    </r>
  </si>
  <si>
    <r>
      <rPr>
        <b/>
        <sz val="11"/>
        <color indexed="30"/>
        <rFont val="DejaVu Sans"/>
        <family val="2"/>
      </rPr>
      <t>軽減判定用</t>
    </r>
    <r>
      <rPr>
        <b/>
        <sz val="11"/>
        <color indexed="30"/>
        <rFont val="ＭＳ Ｐゴシック"/>
        <family val="3"/>
        <charset val="128"/>
      </rPr>
      <t>_</t>
    </r>
    <r>
      <rPr>
        <b/>
        <sz val="11"/>
        <color indexed="30"/>
        <rFont val="DejaVu Sans"/>
        <family val="2"/>
      </rPr>
      <t>個人別年金所得⇒</t>
    </r>
  </si>
  <si>
    <t>個人別その他所得⇒</t>
  </si>
  <si>
    <t>合計所得計算</t>
  </si>
  <si>
    <t>個人別合計所得⇒</t>
  </si>
  <si>
    <r>
      <rPr>
        <b/>
        <sz val="11"/>
        <color indexed="30"/>
        <rFont val="DejaVu Sans"/>
        <family val="2"/>
      </rPr>
      <t>軽減判定用</t>
    </r>
    <r>
      <rPr>
        <b/>
        <sz val="11"/>
        <color indexed="30"/>
        <rFont val="ＭＳ Ｐゴシック"/>
        <family val="3"/>
        <charset val="128"/>
      </rPr>
      <t>_</t>
    </r>
    <r>
      <rPr>
        <b/>
        <sz val="11"/>
        <color indexed="30"/>
        <rFont val="DejaVu Sans"/>
        <family val="2"/>
      </rPr>
      <t>個人別合計所得⇒</t>
    </r>
  </si>
  <si>
    <t>軽減判定所得（世帯）</t>
  </si>
  <si>
    <r>
      <rPr>
        <b/>
        <sz val="11"/>
        <color indexed="30"/>
        <rFont val="DejaVu Sans"/>
        <family val="2"/>
      </rPr>
      <t>軽減判定用</t>
    </r>
    <r>
      <rPr>
        <b/>
        <sz val="11"/>
        <color indexed="30"/>
        <rFont val="ＭＳ Ｐゴシック"/>
        <family val="3"/>
        <charset val="128"/>
      </rPr>
      <t>_</t>
    </r>
    <r>
      <rPr>
        <b/>
        <sz val="11"/>
        <color indexed="30"/>
        <rFont val="DejaVu Sans"/>
        <family val="2"/>
      </rPr>
      <t>世帯合計所得⇒</t>
    </r>
  </si>
  <si>
    <t>軽減判定</t>
  </si>
  <si>
    <t>軽減区分</t>
  </si>
  <si>
    <t>判定所得①</t>
  </si>
  <si>
    <t>判定所得②</t>
  </si>
  <si>
    <t>被保険者数</t>
  </si>
  <si>
    <t>判定所得③</t>
  </si>
  <si>
    <r>
      <rPr>
        <sz val="11"/>
        <rFont val="DejaVu Sans"/>
        <family val="2"/>
      </rPr>
      <t>給与所得者数</t>
    </r>
    <r>
      <rPr>
        <sz val="11"/>
        <rFont val="ＭＳ Ｐゴシック"/>
        <family val="3"/>
        <charset val="128"/>
      </rPr>
      <t>-1</t>
    </r>
  </si>
  <si>
    <t>判定結果</t>
  </si>
  <si>
    <t>軽減係数</t>
  </si>
  <si>
    <t>A</t>
  </si>
  <si>
    <t>B</t>
  </si>
  <si>
    <t>C</t>
  </si>
  <si>
    <t>D</t>
  </si>
  <si>
    <t>E</t>
  </si>
  <si>
    <t>A+B*C+D*E</t>
  </si>
  <si>
    <r>
      <rPr>
        <sz val="11"/>
        <rFont val="ＭＳ Ｐゴシック"/>
        <family val="3"/>
        <charset val="128"/>
      </rPr>
      <t>7</t>
    </r>
    <r>
      <rPr>
        <sz val="11"/>
        <rFont val="DejaVu Sans"/>
        <family val="2"/>
      </rPr>
      <t>割軽減</t>
    </r>
  </si>
  <si>
    <r>
      <rPr>
        <sz val="11"/>
        <rFont val="ＭＳ Ｐゴシック"/>
        <family val="3"/>
        <charset val="128"/>
      </rPr>
      <t>5</t>
    </r>
    <r>
      <rPr>
        <sz val="11"/>
        <rFont val="DejaVu Sans"/>
        <family val="2"/>
      </rPr>
      <t>割軽減</t>
    </r>
  </si>
  <si>
    <r>
      <rPr>
        <sz val="11"/>
        <rFont val="ＭＳ Ｐゴシック"/>
        <family val="3"/>
        <charset val="128"/>
      </rPr>
      <t>2</t>
    </r>
    <r>
      <rPr>
        <sz val="11"/>
        <rFont val="DejaVu Sans"/>
        <family val="2"/>
      </rPr>
      <t>割軽減</t>
    </r>
  </si>
  <si>
    <t>賦課区分</t>
  </si>
  <si>
    <t>項目</t>
  </si>
  <si>
    <t>所得割</t>
  </si>
  <si>
    <t>合計所得</t>
  </si>
  <si>
    <t>基礎控除後所得</t>
  </si>
  <si>
    <t>所得割額</t>
  </si>
  <si>
    <t>個人計</t>
  </si>
  <si>
    <t>世帯合計</t>
  </si>
  <si>
    <t>世帯合計（端数調整後）</t>
  </si>
  <si>
    <t>限度超過額</t>
  </si>
  <si>
    <t>世帯合計（端数調整・賦課限度額控除後）</t>
  </si>
  <si>
    <t>全体</t>
  </si>
  <si>
    <t>年齢</t>
    <rPh sb="0" eb="2">
      <t>ネンレイ</t>
    </rPh>
    <phoneticPr fontId="16"/>
  </si>
  <si>
    <t>①給与収入</t>
    <rPh sb="1" eb="3">
      <t>キュウヨ</t>
    </rPh>
    <rPh sb="3" eb="5">
      <t>シュウニュウ</t>
    </rPh>
    <phoneticPr fontId="16"/>
  </si>
  <si>
    <t>②年金収入</t>
    <rPh sb="1" eb="3">
      <t>ネンキン</t>
    </rPh>
    <rPh sb="3" eb="5">
      <t>シュウニュウ</t>
    </rPh>
    <phoneticPr fontId="16"/>
  </si>
  <si>
    <t>③営業その他所得</t>
    <rPh sb="1" eb="3">
      <t>エイギョウ</t>
    </rPh>
    <rPh sb="5" eb="6">
      <t>タ</t>
    </rPh>
    <rPh sb="6" eb="8">
      <t>ショトク</t>
    </rPh>
    <phoneticPr fontId="16"/>
  </si>
  <si>
    <t>世帯主</t>
    <rPh sb="0" eb="3">
      <t>セタイヌシ</t>
    </rPh>
    <phoneticPr fontId="16"/>
  </si>
  <si>
    <t>世帯員①</t>
    <rPh sb="0" eb="3">
      <t>セタイイン</t>
    </rPh>
    <phoneticPr fontId="16"/>
  </si>
  <si>
    <t>世帯員②</t>
    <rPh sb="0" eb="3">
      <t>セタイイン</t>
    </rPh>
    <phoneticPr fontId="16"/>
  </si>
  <si>
    <t>世帯員③</t>
    <rPh sb="0" eb="3">
      <t>セタイイン</t>
    </rPh>
    <phoneticPr fontId="16"/>
  </si>
  <si>
    <t>世帯員④</t>
    <rPh sb="0" eb="3">
      <t>セタイイン</t>
    </rPh>
    <phoneticPr fontId="16"/>
  </si>
  <si>
    <t>※このシートは、試算結果だけが印刷されるように設定されています。</t>
    <rPh sb="8" eb="10">
      <t>シサン</t>
    </rPh>
    <rPh sb="10" eb="12">
      <t>ケッカ</t>
    </rPh>
    <rPh sb="15" eb="17">
      <t>インサツ</t>
    </rPh>
    <rPh sb="23" eb="25">
      <t>セッテイ</t>
    </rPh>
    <phoneticPr fontId="16"/>
  </si>
  <si>
    <t>試算年月日</t>
    <rPh sb="0" eb="2">
      <t>シサン</t>
    </rPh>
    <rPh sb="2" eb="5">
      <t>ネンガッピ</t>
    </rPh>
    <phoneticPr fontId="16"/>
  </si>
  <si>
    <t>●</t>
    <phoneticPr fontId="16"/>
  </si>
  <si>
    <t>世帯の税額</t>
    <rPh sb="0" eb="2">
      <t>セタイ</t>
    </rPh>
    <rPh sb="3" eb="5">
      <t>ゼイガク</t>
    </rPh>
    <phoneticPr fontId="16"/>
  </si>
  <si>
    <t>給与収入</t>
    <rPh sb="0" eb="2">
      <t>キュウヨ</t>
    </rPh>
    <rPh sb="2" eb="4">
      <t>シュウニュウ</t>
    </rPh>
    <phoneticPr fontId="16"/>
  </si>
  <si>
    <t>年金収入</t>
    <rPh sb="0" eb="2">
      <t>ネンキン</t>
    </rPh>
    <rPh sb="2" eb="4">
      <t>シュウニュウ</t>
    </rPh>
    <phoneticPr fontId="16"/>
  </si>
  <si>
    <t>営業</t>
    <rPh sb="0" eb="2">
      <t>エイギョウ</t>
    </rPh>
    <phoneticPr fontId="16"/>
  </si>
  <si>
    <t>総所得金額</t>
    <rPh sb="0" eb="3">
      <t>ソウショトク</t>
    </rPh>
    <rPh sb="3" eb="5">
      <t>キンガク</t>
    </rPh>
    <phoneticPr fontId="16"/>
  </si>
  <si>
    <t>基礎控除後</t>
    <rPh sb="0" eb="2">
      <t>キソ</t>
    </rPh>
    <rPh sb="2" eb="4">
      <t>コウジョ</t>
    </rPh>
    <rPh sb="4" eb="5">
      <t>ゴ</t>
    </rPh>
    <phoneticPr fontId="16"/>
  </si>
  <si>
    <t>軽減判定所得</t>
    <rPh sb="0" eb="2">
      <t>ケイゲン</t>
    </rPh>
    <rPh sb="2" eb="4">
      <t>ハンテイ</t>
    </rPh>
    <rPh sb="4" eb="6">
      <t>ショトク</t>
    </rPh>
    <phoneticPr fontId="16"/>
  </si>
  <si>
    <t>税額</t>
    <rPh sb="0" eb="2">
      <t>ゼイガク</t>
    </rPh>
    <phoneticPr fontId="16"/>
  </si>
  <si>
    <t>世帯合計税額</t>
    <rPh sb="0" eb="2">
      <t>セタイ</t>
    </rPh>
    <rPh sb="2" eb="4">
      <t>ゴウケイ</t>
    </rPh>
    <rPh sb="4" eb="6">
      <t>ゼイガク</t>
    </rPh>
    <phoneticPr fontId="16"/>
  </si>
  <si>
    <t>軽減割合</t>
    <rPh sb="0" eb="2">
      <t>ケイゲン</t>
    </rPh>
    <rPh sb="2" eb="4">
      <t>ワリアイ</t>
    </rPh>
    <phoneticPr fontId="16"/>
  </si>
  <si>
    <t>その他所得</t>
    <phoneticPr fontId="16"/>
  </si>
  <si>
    <t>所得金額</t>
    <phoneticPr fontId="16"/>
  </si>
  <si>
    <t>（端数調整後）</t>
    <rPh sb="1" eb="3">
      <t>ハスウ</t>
    </rPh>
    <rPh sb="3" eb="6">
      <t>チョウセイゴ</t>
    </rPh>
    <phoneticPr fontId="16"/>
  </si>
  <si>
    <t>●</t>
    <phoneticPr fontId="16"/>
  </si>
  <si>
    <t>試算結果</t>
    <rPh sb="0" eb="2">
      <t>シサン</t>
    </rPh>
    <rPh sb="2" eb="4">
      <t>ケッカ</t>
    </rPh>
    <phoneticPr fontId="16"/>
  </si>
  <si>
    <t>●</t>
    <phoneticPr fontId="16"/>
  </si>
  <si>
    <t>個人別明細</t>
    <rPh sb="0" eb="2">
      <t>コジン</t>
    </rPh>
    <rPh sb="2" eb="3">
      <t>ベツ</t>
    </rPh>
    <rPh sb="3" eb="5">
      <t>メイサイ</t>
    </rPh>
    <phoneticPr fontId="16"/>
  </si>
  <si>
    <t>一部の軽減の計算に対応していないため、試算結果は実際の保険税額と異なる場合があります。
今年度中に40歳ならびに65歳を迎えられる方は、介護分の変更が生じます。</t>
    <rPh sb="9" eb="11">
      <t>タイオウ</t>
    </rPh>
    <rPh sb="75" eb="76">
      <t>ショウ</t>
    </rPh>
    <phoneticPr fontId="16"/>
  </si>
  <si>
    <t>年税額</t>
  </si>
  <si>
    <t>月平均</t>
  </si>
  <si>
    <t>賦課区分ごとの税額</t>
  </si>
  <si>
    <t>参考①：</t>
  </si>
  <si>
    <t>年度途中から加入される場合の国民健康保険税額の目安</t>
  </si>
  <si>
    <t>加入月数</t>
  </si>
  <si>
    <t>税　　額</t>
  </si>
  <si>
    <t>参考②：</t>
  </si>
  <si>
    <t>１期ごとのお支払い額の目安</t>
  </si>
  <si>
    <t>未就学児の均等割軽減の該当</t>
    <rPh sb="0" eb="4">
      <t>ミシュウガクジ</t>
    </rPh>
    <rPh sb="5" eb="8">
      <t>キントウワ</t>
    </rPh>
    <rPh sb="8" eb="10">
      <t>ケイゲン</t>
    </rPh>
    <rPh sb="11" eb="13">
      <t>ガイトウ</t>
    </rPh>
    <phoneticPr fontId="16"/>
  </si>
  <si>
    <t>未就学児</t>
    <rPh sb="0" eb="4">
      <t>ミシュウガクジ</t>
    </rPh>
    <phoneticPr fontId="16"/>
  </si>
  <si>
    <t>2022.4.1時点</t>
    <rPh sb="8" eb="10">
      <t>ジテン</t>
    </rPh>
    <phoneticPr fontId="16"/>
  </si>
  <si>
    <t>2022.1.1時点</t>
    <rPh sb="8" eb="10">
      <t>ジテン</t>
    </rPh>
    <phoneticPr fontId="16"/>
  </si>
  <si>
    <t>2022.4.2時点</t>
    <rPh sb="8" eb="10">
      <t>ジテン</t>
    </rPh>
    <phoneticPr fontId="16"/>
  </si>
  <si>
    <t>1.1生</t>
    <rPh sb="3" eb="4">
      <t>ウ</t>
    </rPh>
    <phoneticPr fontId="16"/>
  </si>
  <si>
    <t>3.1生</t>
    <rPh sb="3" eb="4">
      <t>ウ</t>
    </rPh>
    <phoneticPr fontId="16"/>
  </si>
  <si>
    <t>4.1生</t>
    <rPh sb="3" eb="4">
      <t>ウ</t>
    </rPh>
    <phoneticPr fontId="16"/>
  </si>
  <si>
    <t>4.2生</t>
    <rPh sb="3" eb="4">
      <t>ウ</t>
    </rPh>
    <phoneticPr fontId="16"/>
  </si>
  <si>
    <t>9.1生</t>
    <rPh sb="3" eb="4">
      <t>ウ</t>
    </rPh>
    <phoneticPr fontId="16"/>
  </si>
  <si>
    <t>…　2022年度に小学１年生以上</t>
    <rPh sb="6" eb="8">
      <t>ネンド</t>
    </rPh>
    <rPh sb="9" eb="11">
      <t>ショウガク</t>
    </rPh>
    <rPh sb="12" eb="14">
      <t>ネンセイ</t>
    </rPh>
    <rPh sb="14" eb="16">
      <t>イジョウ</t>
    </rPh>
    <phoneticPr fontId="16"/>
  </si>
  <si>
    <t>（作成用メモ）</t>
    <rPh sb="1" eb="3">
      <t>サクセイ</t>
    </rPh>
    <rPh sb="3" eb="4">
      <t>ヨウ</t>
    </rPh>
    <phoneticPr fontId="16"/>
  </si>
  <si>
    <t>本人又は扶養親族等が「特別障害者」
or 23歳未満の扶養親族がいる</t>
    <rPh sb="0" eb="2">
      <t>ホンニン</t>
    </rPh>
    <rPh sb="2" eb="3">
      <t>マタ</t>
    </rPh>
    <rPh sb="4" eb="6">
      <t>フヨウ</t>
    </rPh>
    <rPh sb="6" eb="8">
      <t>シンゾク</t>
    </rPh>
    <rPh sb="8" eb="9">
      <t>トウ</t>
    </rPh>
    <rPh sb="27" eb="29">
      <t>フヨウ</t>
    </rPh>
    <rPh sb="29" eb="31">
      <t>シンゾク</t>
    </rPh>
    <phoneticPr fontId="16"/>
  </si>
  <si>
    <t>メモ</t>
    <phoneticPr fontId="16"/>
  </si>
  <si>
    <t>※控除額が変わる</t>
    <rPh sb="1" eb="3">
      <t>コウジョ</t>
    </rPh>
    <rPh sb="3" eb="4">
      <t>ガク</t>
    </rPh>
    <rPh sb="5" eb="6">
      <t>カ</t>
    </rPh>
    <phoneticPr fontId="16"/>
  </si>
  <si>
    <t>昭和36年1月2日以後（65歳未満）</t>
    <rPh sb="15" eb="17">
      <t>ミマン</t>
    </rPh>
    <phoneticPr fontId="16"/>
  </si>
  <si>
    <t>昭和36年1月1日以前（65歳以上）</t>
    <phoneticPr fontId="16"/>
  </si>
  <si>
    <t>狛江市国民健康保険税試算シート（2026年４月～2027年3月）</t>
    <rPh sb="0" eb="3">
      <t>コマエシ</t>
    </rPh>
    <rPh sb="3" eb="5">
      <t>コクミン</t>
    </rPh>
    <rPh sb="5" eb="7">
      <t>ケンコウ</t>
    </rPh>
    <rPh sb="7" eb="9">
      <t>ホケン</t>
    </rPh>
    <rPh sb="9" eb="10">
      <t>ゼイ</t>
    </rPh>
    <rPh sb="10" eb="12">
      <t>シサン</t>
    </rPh>
    <phoneticPr fontId="16"/>
  </si>
  <si>
    <t>子ども分</t>
    <rPh sb="0" eb="1">
      <t>コ</t>
    </rPh>
    <rPh sb="3" eb="4">
      <t>ブン</t>
    </rPh>
    <phoneticPr fontId="16"/>
  </si>
  <si>
    <r>
      <t>軽減判定・医療分・支援分・</t>
    </r>
    <r>
      <rPr>
        <sz val="11"/>
        <color rgb="FFFF0000"/>
        <rFont val="ＭＳ Ｐゴシック"/>
        <family val="3"/>
        <charset val="128"/>
      </rPr>
      <t>子ども分</t>
    </r>
    <r>
      <rPr>
        <sz val="11"/>
        <rFont val="ＭＳ Ｐゴシック"/>
        <family val="3"/>
        <charset val="128"/>
      </rPr>
      <t>⇒</t>
    </r>
    <rPh sb="13" eb="14">
      <t>コ</t>
    </rPh>
    <rPh sb="16" eb="17">
      <t>ブン</t>
    </rPh>
    <phoneticPr fontId="16"/>
  </si>
  <si>
    <t>子ども分</t>
    <rPh sb="0" eb="1">
      <t>コ</t>
    </rPh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</si>
</sst>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76" formatCode="0_)&quot;歳&quot;;[Red]\(0\)"/>
    <numFmt numFmtId="177" formatCode="0_)&quot;歳&quot;"/>
    <numFmt numFmtId="178" formatCode="#,##0&quot;円&quot;"/>
    <numFmt numFmtId="179" formatCode="#,##0&quot;円&quot;;[Red]\-#,##0&quot;円&quot;"/>
    <numFmt numFmtId="180" formatCode="##&quot;ヶ月&quot;"/>
    <numFmt numFmtId="181" formatCode="#,##0.00_);[Red]\(#,##0.00\)"/>
    <numFmt numFmtId="182" formatCode="##&quot;期&quot;"/>
    <numFmt numFmtId="183" formatCode="#,##0_);[Red]\(#,##0\)"/>
    <numFmt numFmtId="184" formatCode="#,##0.0000_ "/>
    <numFmt numFmtId="185" formatCode="#,###&quot;歳&quot;"/>
    <numFmt numFmtId="186" formatCode="#,##0_ "/>
    <numFmt numFmtId="187" formatCode="#,##0_ ;[Red]\-#,##0\ "/>
    <numFmt numFmtId="188" formatCode="_ * #,##0_ ;_ * \-#,##0_ ;_ * \-??_ ;_ @_ "/>
    <numFmt numFmtId="189" formatCode="#,##0.00_ "/>
    <numFmt numFmtId="190" formatCode="_ * #,##0.00_ ;_ * \-#,##0.00_ ;_ * \-??.00_ ;_ @_ "/>
    <numFmt numFmtId="191" formatCode="#,##0&quot;円&quot;\ "/>
    <numFmt numFmtId="192" formatCode="[$-F800]dddd\,\ mmmm\ dd\,\ yyyy"/>
    <numFmt numFmtId="193" formatCode="[$-411]ggge&quot;年&quot;m&quot;月&quot;d&quot;日&quot;;@"/>
    <numFmt numFmtId="194" formatCode="#,##0&quot;円 &quot;"/>
    <numFmt numFmtId="195" formatCode="#,##0&quot;円&quot;;[Red]\(#,##0&quot;)円&quot;"/>
  </numFmts>
  <fonts count="30"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4"/>
      <name val="HGｺﾞｼｯｸE"/>
      <family val="3"/>
      <charset val="128"/>
    </font>
    <font>
      <sz val="11"/>
      <name val="DejaVu Sans"/>
      <family val="2"/>
    </font>
    <font>
      <sz val="20"/>
      <name val="HGｺﾞｼｯｸE"/>
      <family val="3"/>
      <charset val="128"/>
    </font>
    <font>
      <sz val="14"/>
      <name val="メイリオ"/>
      <family val="3"/>
      <charset val="128"/>
    </font>
    <font>
      <sz val="10"/>
      <name val="DejaVu Sans"/>
      <family val="2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name val="DejaVu Sans"/>
      <family val="2"/>
    </font>
    <font>
      <b/>
      <sz val="11"/>
      <name val="ＭＳ Ｐゴシック"/>
      <family val="3"/>
      <charset val="128"/>
    </font>
    <font>
      <b/>
      <sz val="11"/>
      <color indexed="10"/>
      <name val="DejaVu Sans"/>
      <family val="2"/>
    </font>
    <font>
      <b/>
      <sz val="11"/>
      <color indexed="3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indexed="30"/>
      <name val="DejaVu Sans"/>
      <family val="2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HGｺﾞｼｯｸE"/>
      <family val="3"/>
      <charset val="128"/>
    </font>
    <font>
      <sz val="20"/>
      <color rgb="FFFF0000"/>
      <name val="HGｺﾞｼｯｸE"/>
      <family val="3"/>
      <charset val="128"/>
    </font>
    <font>
      <sz val="9"/>
      <name val="メイリオ"/>
      <family val="3"/>
      <charset val="128"/>
    </font>
    <font>
      <b/>
      <sz val="18"/>
      <name val="メイリオ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2"/>
      <name val="HGｺﾞｼｯｸE"/>
      <family val="3"/>
      <charset val="128"/>
    </font>
    <font>
      <sz val="11"/>
      <color rgb="FFFF0000"/>
      <name val="ＭＳ Ｐゴシック"/>
      <family val="3"/>
      <charset val="128"/>
    </font>
    <font>
      <sz val="8"/>
      <name val="メイリオ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ＭＳ Ｐゴシック"/>
      <family val="3"/>
    </font>
    <font>
      <sz val="11"/>
      <color theme="1"/>
      <name val="游ゴシック"/>
      <family val="3"/>
      <charset val="128"/>
      <scheme val="minor"/>
    </font>
    <font>
      <b/>
      <sz val="8"/>
      <color indexed="81"/>
      <name val="MS P ゴシック"/>
      <family val="3"/>
      <charset val="128"/>
    </font>
  </fonts>
  <fills count="31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42"/>
        <b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50"/>
        <bgColor indexed="51"/>
      </patternFill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gradientFill degree="90">
        <stop position="0">
          <color theme="4" tint="0.40000610370189521"/>
        </stop>
        <stop position="0.5">
          <color theme="0"/>
        </stop>
        <stop position="1">
          <color theme="4" tint="0.40000610370189521"/>
        </stop>
      </gradientFill>
    </fill>
    <fill>
      <patternFill patternType="solid">
        <fgColor rgb="FF99FF99"/>
        <bgColor indexed="27"/>
      </patternFill>
    </fill>
    <fill>
      <patternFill patternType="solid">
        <fgColor rgb="FFCCFFFF"/>
        <bgColor indexed="31"/>
      </patternFill>
    </fill>
    <fill>
      <patternFill patternType="solid">
        <fgColor rgb="FF66CCFF"/>
        <bgColor indexed="22"/>
      </patternFill>
    </fill>
    <fill>
      <patternFill patternType="solid">
        <fgColor rgb="FF33CCFF"/>
        <bgColor indexed="31"/>
      </patternFill>
    </fill>
    <fill>
      <patternFill patternType="solid">
        <fgColor rgb="FFFF99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99FF"/>
        <bgColor indexed="34"/>
      </patternFill>
    </fill>
  </fills>
  <borders count="179">
    <border>
      <left/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double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</borders>
  <cellStyleXfs count="11">
    <xf numFmtId="0" fontId="0" fillId="0" borderId="0"/>
    <xf numFmtId="181" fontId="15" fillId="0" borderId="0" applyBorder="0" applyProtection="0"/>
    <xf numFmtId="0" fontId="15" fillId="0" borderId="0">
      <alignment vertical="center"/>
    </xf>
    <xf numFmtId="188" fontId="15" fillId="0" borderId="0" applyBorder="0" applyProtection="0"/>
    <xf numFmtId="0" fontId="15" fillId="0" borderId="0">
      <alignment vertical="center"/>
    </xf>
    <xf numFmtId="38" fontId="15" fillId="0" borderId="0" applyFont="0" applyFill="0" applyBorder="0" applyAlignment="0" applyProtection="0"/>
    <xf numFmtId="0" fontId="27" fillId="0" borderId="0"/>
    <xf numFmtId="181" fontId="27" fillId="0" borderId="0" applyBorder="0" applyProtection="0"/>
    <xf numFmtId="0" fontId="27" fillId="0" borderId="0">
      <alignment vertical="center"/>
    </xf>
    <xf numFmtId="188" fontId="27" fillId="0" borderId="0" applyBorder="0" applyProtection="0"/>
    <xf numFmtId="38" fontId="28" fillId="0" borderId="0" applyFont="0" applyFill="0" applyBorder="0" applyAlignment="0" applyProtection="0">
      <alignment vertical="center"/>
    </xf>
  </cellStyleXfs>
  <cellXfs count="515">
    <xf numFmtId="0" fontId="0" fillId="0" borderId="0" xfId="0"/>
    <xf numFmtId="0" fontId="0" fillId="0" borderId="0" xfId="0" applyProtection="1"/>
    <xf numFmtId="0" fontId="3" fillId="2" borderId="1" xfId="2" applyFont="1" applyFill="1" applyBorder="1" applyAlignment="1" applyProtection="1">
      <alignment horizontal="center" vertical="center"/>
    </xf>
    <xf numFmtId="0" fontId="3" fillId="2" borderId="2" xfId="2" applyFont="1" applyFill="1" applyBorder="1" applyAlignment="1" applyProtection="1">
      <alignment horizontal="center" vertical="center"/>
    </xf>
    <xf numFmtId="0" fontId="3" fillId="2" borderId="3" xfId="2" applyFont="1" applyFill="1" applyBorder="1" applyAlignment="1" applyProtection="1">
      <alignment horizontal="center" vertical="center"/>
    </xf>
    <xf numFmtId="0" fontId="15" fillId="0" borderId="0" xfId="2" applyProtection="1">
      <alignment vertical="center"/>
    </xf>
    <xf numFmtId="183" fontId="0" fillId="0" borderId="0" xfId="1" applyNumberFormat="1" applyFont="1" applyBorder="1" applyAlignment="1" applyProtection="1">
      <alignment horizontal="center" vertical="center"/>
    </xf>
    <xf numFmtId="0" fontId="9" fillId="4" borderId="0" xfId="2" applyFont="1" applyFill="1" applyAlignment="1" applyProtection="1">
      <alignment horizontal="center" vertical="center"/>
    </xf>
    <xf numFmtId="0" fontId="10" fillId="0" borderId="0" xfId="2" applyFont="1" applyAlignment="1" applyProtection="1">
      <alignment horizontal="center" vertical="center"/>
    </xf>
    <xf numFmtId="0" fontId="15" fillId="0" borderId="2" xfId="2" applyBorder="1" applyProtection="1">
      <alignment vertical="center"/>
    </xf>
    <xf numFmtId="0" fontId="3" fillId="2" borderId="4" xfId="2" applyFont="1" applyFill="1" applyBorder="1" applyAlignment="1" applyProtection="1">
      <alignment horizontal="center" vertical="center"/>
    </xf>
    <xf numFmtId="0" fontId="3" fillId="5" borderId="5" xfId="2" applyFont="1" applyFill="1" applyBorder="1" applyAlignment="1" applyProtection="1">
      <alignment horizontal="center" vertical="center"/>
    </xf>
    <xf numFmtId="0" fontId="3" fillId="2" borderId="6" xfId="2" applyFont="1" applyFill="1" applyBorder="1" applyAlignment="1" applyProtection="1">
      <alignment horizontal="center" vertical="center"/>
    </xf>
    <xf numFmtId="183" fontId="0" fillId="0" borderId="0" xfId="1" applyNumberFormat="1" applyFont="1" applyBorder="1" applyAlignment="1" applyProtection="1">
      <alignment vertical="center"/>
    </xf>
    <xf numFmtId="0" fontId="3" fillId="2" borderId="7" xfId="2" applyFont="1" applyFill="1" applyBorder="1" applyAlignment="1" applyProtection="1">
      <alignment horizontal="center" vertical="center"/>
    </xf>
    <xf numFmtId="185" fontId="15" fillId="0" borderId="9" xfId="2" applyNumberFormat="1" applyBorder="1" applyAlignment="1" applyProtection="1">
      <alignment horizontal="center" vertical="center"/>
    </xf>
    <xf numFmtId="185" fontId="15" fillId="0" borderId="10" xfId="2" applyNumberFormat="1" applyBorder="1" applyAlignment="1" applyProtection="1">
      <alignment horizontal="center" vertical="center"/>
    </xf>
    <xf numFmtId="185" fontId="15" fillId="0" borderId="11" xfId="2" applyNumberFormat="1" applyBorder="1" applyAlignment="1" applyProtection="1">
      <alignment horizontal="center" vertical="center"/>
    </xf>
    <xf numFmtId="0" fontId="3" fillId="2" borderId="12" xfId="2" applyFont="1" applyFill="1" applyBorder="1" applyAlignment="1" applyProtection="1">
      <alignment horizontal="center" vertical="center"/>
    </xf>
    <xf numFmtId="0" fontId="3" fillId="2" borderId="11" xfId="2" applyFont="1" applyFill="1" applyBorder="1" applyAlignment="1" applyProtection="1">
      <alignment horizontal="center" vertical="center"/>
    </xf>
    <xf numFmtId="0" fontId="15" fillId="0" borderId="0" xfId="2" applyBorder="1" applyProtection="1">
      <alignment vertical="center"/>
    </xf>
    <xf numFmtId="0" fontId="15" fillId="0" borderId="15" xfId="2" applyBorder="1" applyAlignment="1" applyProtection="1">
      <alignment horizontal="center" vertical="center"/>
    </xf>
    <xf numFmtId="186" fontId="15" fillId="0" borderId="15" xfId="2" applyNumberFormat="1" applyBorder="1" applyProtection="1">
      <alignment vertical="center"/>
    </xf>
    <xf numFmtId="186" fontId="15" fillId="0" borderId="0" xfId="2" applyNumberFormat="1" applyBorder="1" applyProtection="1">
      <alignment vertical="center"/>
    </xf>
    <xf numFmtId="186" fontId="15" fillId="0" borderId="0" xfId="2" applyNumberFormat="1" applyBorder="1" applyAlignment="1" applyProtection="1">
      <alignment horizontal="right" vertical="center"/>
    </xf>
    <xf numFmtId="186" fontId="15" fillId="4" borderId="16" xfId="2" applyNumberFormat="1" applyFill="1" applyBorder="1" applyProtection="1">
      <alignment vertical="center"/>
    </xf>
    <xf numFmtId="186" fontId="11" fillId="0" borderId="0" xfId="2" applyNumberFormat="1" applyFont="1" applyBorder="1" applyProtection="1">
      <alignment vertical="center"/>
    </xf>
    <xf numFmtId="0" fontId="9" fillId="4" borderId="0" xfId="2" applyFont="1" applyFill="1" applyAlignment="1" applyProtection="1">
      <alignment vertical="center"/>
    </xf>
    <xf numFmtId="0" fontId="15" fillId="4" borderId="0" xfId="2" applyFill="1" applyProtection="1">
      <alignment vertical="center"/>
    </xf>
    <xf numFmtId="0" fontId="0" fillId="0" borderId="0" xfId="2" applyFont="1" applyProtection="1">
      <alignment vertical="center"/>
    </xf>
    <xf numFmtId="183" fontId="3" fillId="2" borderId="17" xfId="1" applyNumberFormat="1" applyFont="1" applyFill="1" applyBorder="1" applyAlignment="1" applyProtection="1">
      <alignment horizontal="center" vertical="center"/>
    </xf>
    <xf numFmtId="0" fontId="3" fillId="2" borderId="18" xfId="2" applyFont="1" applyFill="1" applyBorder="1" applyAlignment="1" applyProtection="1">
      <alignment horizontal="center" vertical="center"/>
    </xf>
    <xf numFmtId="0" fontId="3" fillId="2" borderId="19" xfId="2" applyFont="1" applyFill="1" applyBorder="1" applyAlignment="1" applyProtection="1">
      <alignment horizontal="center" vertical="center"/>
    </xf>
    <xf numFmtId="0" fontId="10" fillId="0" borderId="0" xfId="2" applyFont="1" applyProtection="1">
      <alignment vertical="center"/>
    </xf>
    <xf numFmtId="0" fontId="3" fillId="0" borderId="0" xfId="2" applyFont="1" applyAlignment="1" applyProtection="1">
      <alignment horizontal="right" vertical="center"/>
    </xf>
    <xf numFmtId="183" fontId="0" fillId="3" borderId="20" xfId="1" applyNumberFormat="1" applyFont="1" applyFill="1" applyBorder="1" applyAlignment="1" applyProtection="1">
      <alignment horizontal="center" vertical="center"/>
    </xf>
    <xf numFmtId="0" fontId="0" fillId="3" borderId="21" xfId="2" applyFont="1" applyFill="1" applyBorder="1" applyAlignment="1" applyProtection="1">
      <alignment horizontal="center" vertical="center"/>
    </xf>
    <xf numFmtId="0" fontId="0" fillId="3" borderId="22" xfId="2" applyFont="1" applyFill="1" applyBorder="1" applyAlignment="1" applyProtection="1">
      <alignment horizontal="center" vertical="center"/>
    </xf>
    <xf numFmtId="183" fontId="0" fillId="3" borderId="23" xfId="1" applyNumberFormat="1" applyFont="1" applyFill="1" applyBorder="1" applyAlignment="1" applyProtection="1">
      <alignment horizontal="center" vertical="center"/>
    </xf>
    <xf numFmtId="183" fontId="0" fillId="3" borderId="24" xfId="1" applyNumberFormat="1" applyFont="1" applyFill="1" applyBorder="1" applyAlignment="1" applyProtection="1">
      <alignment horizontal="center" vertical="center"/>
    </xf>
    <xf numFmtId="183" fontId="0" fillId="3" borderId="25" xfId="1" applyNumberFormat="1" applyFont="1" applyFill="1" applyBorder="1" applyAlignment="1" applyProtection="1">
      <alignment horizontal="center" vertical="center"/>
    </xf>
    <xf numFmtId="183" fontId="0" fillId="0" borderId="26" xfId="1" applyNumberFormat="1" applyFont="1" applyBorder="1" applyAlignment="1" applyProtection="1">
      <alignment horizontal="center" vertical="center"/>
    </xf>
    <xf numFmtId="183" fontId="0" fillId="0" borderId="27" xfId="1" applyNumberFormat="1" applyFont="1" applyBorder="1" applyAlignment="1" applyProtection="1">
      <alignment horizontal="center" vertical="center"/>
    </xf>
    <xf numFmtId="183" fontId="0" fillId="0" borderId="28" xfId="1" applyNumberFormat="1" applyFont="1" applyBorder="1" applyAlignment="1" applyProtection="1">
      <alignment horizontal="center" vertical="center"/>
    </xf>
    <xf numFmtId="187" fontId="0" fillId="0" borderId="26" xfId="1" applyNumberFormat="1" applyFont="1" applyBorder="1" applyAlignment="1" applyProtection="1">
      <alignment horizontal="center" vertical="center"/>
    </xf>
    <xf numFmtId="187" fontId="0" fillId="0" borderId="27" xfId="1" applyNumberFormat="1" applyFont="1" applyBorder="1" applyAlignment="1" applyProtection="1">
      <alignment horizontal="center" vertical="center"/>
    </xf>
    <xf numFmtId="187" fontId="0" fillId="0" borderId="28" xfId="1" applyNumberFormat="1" applyFont="1" applyBorder="1" applyAlignment="1" applyProtection="1">
      <alignment horizontal="center" vertical="center"/>
    </xf>
    <xf numFmtId="0" fontId="12" fillId="0" borderId="0" xfId="2" applyFo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83" fontId="0" fillId="3" borderId="26" xfId="1" applyNumberFormat="1" applyFont="1" applyFill="1" applyBorder="1" applyAlignment="1" applyProtection="1">
      <alignment horizontal="center" vertical="center"/>
    </xf>
    <xf numFmtId="183" fontId="0" fillId="3" borderId="27" xfId="1" applyNumberFormat="1" applyFont="1" applyFill="1" applyBorder="1" applyAlignment="1" applyProtection="1">
      <alignment horizontal="center" vertical="center"/>
    </xf>
    <xf numFmtId="183" fontId="0" fillId="3" borderId="28" xfId="1" applyNumberFormat="1" applyFont="1" applyFill="1" applyBorder="1" applyAlignment="1" applyProtection="1">
      <alignment horizontal="center" vertical="center"/>
    </xf>
    <xf numFmtId="186" fontId="3" fillId="2" borderId="29" xfId="2" applyNumberFormat="1" applyFont="1" applyFill="1" applyBorder="1" applyAlignment="1" applyProtection="1">
      <alignment horizontal="center" vertical="center"/>
    </xf>
    <xf numFmtId="186" fontId="3" fillId="2" borderId="30" xfId="2" applyNumberFormat="1" applyFont="1" applyFill="1" applyBorder="1" applyAlignment="1" applyProtection="1">
      <alignment horizontal="center" vertical="center"/>
    </xf>
    <xf numFmtId="183" fontId="0" fillId="0" borderId="18" xfId="1" applyNumberFormat="1" applyFont="1" applyBorder="1" applyAlignment="1" applyProtection="1">
      <alignment horizontal="center" vertical="center"/>
    </xf>
    <xf numFmtId="183" fontId="0" fillId="0" borderId="19" xfId="1" applyNumberFormat="1" applyFont="1" applyBorder="1" applyAlignment="1" applyProtection="1">
      <alignment horizontal="center" vertical="center"/>
    </xf>
    <xf numFmtId="183" fontId="0" fillId="5" borderId="21" xfId="1" applyNumberFormat="1" applyFont="1" applyFill="1" applyBorder="1" applyAlignment="1" applyProtection="1">
      <alignment horizontal="center" vertical="center"/>
    </xf>
    <xf numFmtId="183" fontId="0" fillId="0" borderId="27" xfId="1" applyNumberFormat="1" applyFont="1" applyBorder="1" applyAlignment="1" applyProtection="1">
      <alignment vertical="center"/>
    </xf>
    <xf numFmtId="183" fontId="0" fillId="2" borderId="9" xfId="1" applyNumberFormat="1" applyFont="1" applyFill="1" applyBorder="1" applyAlignment="1" applyProtection="1">
      <alignment horizontal="center" vertical="center"/>
    </xf>
    <xf numFmtId="183" fontId="0" fillId="2" borderId="40" xfId="1" applyNumberFormat="1" applyFont="1" applyFill="1" applyBorder="1" applyAlignment="1" applyProtection="1">
      <alignment horizontal="center" vertical="center"/>
    </xf>
    <xf numFmtId="183" fontId="0" fillId="2" borderId="41" xfId="1" applyNumberFormat="1" applyFont="1" applyFill="1" applyBorder="1" applyAlignment="1" applyProtection="1">
      <alignment horizontal="center" vertical="center"/>
    </xf>
    <xf numFmtId="0" fontId="6" fillId="2" borderId="17" xfId="2" applyFont="1" applyFill="1" applyBorder="1" applyAlignment="1" applyProtection="1">
      <alignment horizontal="center" vertical="center" shrinkToFit="1"/>
    </xf>
    <xf numFmtId="0" fontId="6" fillId="2" borderId="18" xfId="2" applyFont="1" applyFill="1" applyBorder="1" applyAlignment="1" applyProtection="1">
      <alignment horizontal="center" vertical="center" shrinkToFit="1"/>
    </xf>
    <xf numFmtId="188" fontId="0" fillId="2" borderId="18" xfId="3" applyFont="1" applyFill="1" applyBorder="1" applyAlignment="1" applyProtection="1">
      <alignment horizontal="center" vertical="center"/>
    </xf>
    <xf numFmtId="188" fontId="0" fillId="2" borderId="19" xfId="3" applyFont="1" applyFill="1" applyBorder="1" applyAlignment="1" applyProtection="1">
      <alignment horizontal="center" vertical="center"/>
    </xf>
    <xf numFmtId="188" fontId="0" fillId="0" borderId="23" xfId="3" applyFont="1" applyBorder="1" applyAlignment="1" applyProtection="1">
      <alignment vertical="center"/>
    </xf>
    <xf numFmtId="188" fontId="0" fillId="0" borderId="24" xfId="3" applyFont="1" applyBorder="1" applyAlignment="1" applyProtection="1">
      <alignment vertical="center"/>
    </xf>
    <xf numFmtId="183" fontId="0" fillId="0" borderId="24" xfId="1" applyNumberFormat="1" applyFont="1" applyBorder="1" applyAlignment="1" applyProtection="1">
      <alignment horizontal="center" vertical="center"/>
    </xf>
    <xf numFmtId="183" fontId="0" fillId="0" borderId="25" xfId="1" applyNumberFormat="1" applyFont="1" applyBorder="1" applyAlignment="1" applyProtection="1">
      <alignment horizontal="center" vertical="center"/>
    </xf>
    <xf numFmtId="188" fontId="0" fillId="0" borderId="26" xfId="3" applyFont="1" applyBorder="1" applyAlignment="1" applyProtection="1">
      <alignment vertical="center"/>
    </xf>
    <xf numFmtId="188" fontId="0" fillId="0" borderId="27" xfId="3" applyFont="1" applyBorder="1" applyAlignment="1" applyProtection="1">
      <alignment vertical="center"/>
    </xf>
    <xf numFmtId="186" fontId="15" fillId="0" borderId="16" xfId="2" applyNumberFormat="1" applyBorder="1" applyProtection="1">
      <alignment vertical="center"/>
    </xf>
    <xf numFmtId="183" fontId="0" fillId="0" borderId="42" xfId="1" applyNumberFormat="1" applyFont="1" applyBorder="1" applyAlignment="1" applyProtection="1">
      <alignment horizontal="center" vertical="center"/>
    </xf>
    <xf numFmtId="183" fontId="0" fillId="0" borderId="1" xfId="1" applyNumberFormat="1" applyFont="1" applyBorder="1" applyAlignment="1" applyProtection="1">
      <alignment horizontal="center" vertical="center"/>
    </xf>
    <xf numFmtId="183" fontId="0" fillId="0" borderId="43" xfId="1" applyNumberFormat="1" applyFont="1" applyBorder="1" applyAlignment="1" applyProtection="1">
      <alignment horizontal="center" vertical="center"/>
    </xf>
    <xf numFmtId="183" fontId="0" fillId="0" borderId="44" xfId="1" applyNumberFormat="1" applyFont="1" applyBorder="1" applyAlignment="1" applyProtection="1">
      <alignment horizontal="center" vertical="center"/>
    </xf>
    <xf numFmtId="183" fontId="0" fillId="0" borderId="40" xfId="1" applyNumberFormat="1" applyFont="1" applyBorder="1" applyAlignment="1" applyProtection="1">
      <alignment horizontal="center" vertical="center"/>
    </xf>
    <xf numFmtId="183" fontId="0" fillId="0" borderId="41" xfId="1" applyNumberFormat="1" applyFont="1" applyBorder="1" applyAlignment="1" applyProtection="1">
      <alignment horizontal="center" vertical="center"/>
    </xf>
    <xf numFmtId="0" fontId="9" fillId="9" borderId="0" xfId="2" applyFont="1" applyFill="1" applyAlignment="1" applyProtection="1">
      <alignment horizontal="center" vertical="center"/>
    </xf>
    <xf numFmtId="183" fontId="0" fillId="2" borderId="23" xfId="1" applyNumberFormat="1" applyFont="1" applyFill="1" applyBorder="1" applyAlignment="1" applyProtection="1">
      <alignment horizontal="center" vertical="center"/>
    </xf>
    <xf numFmtId="183" fontId="0" fillId="2" borderId="24" xfId="1" applyNumberFormat="1" applyFont="1" applyFill="1" applyBorder="1" applyAlignment="1" applyProtection="1">
      <alignment horizontal="center" vertical="center"/>
    </xf>
    <xf numFmtId="183" fontId="0" fillId="2" borderId="25" xfId="1" applyNumberFormat="1" applyFont="1" applyFill="1" applyBorder="1" applyAlignment="1" applyProtection="1">
      <alignment horizontal="center" vertical="center"/>
    </xf>
    <xf numFmtId="0" fontId="6" fillId="0" borderId="2" xfId="2" applyFont="1" applyBorder="1" applyAlignment="1" applyProtection="1">
      <alignment horizontal="center" vertical="center" wrapText="1"/>
    </xf>
    <xf numFmtId="186" fontId="3" fillId="2" borderId="6" xfId="2" applyNumberFormat="1" applyFont="1" applyFill="1" applyBorder="1" applyAlignment="1" applyProtection="1">
      <alignment horizontal="center" vertical="center"/>
    </xf>
    <xf numFmtId="186" fontId="3" fillId="2" borderId="43" xfId="2" applyNumberFormat="1" applyFont="1" applyFill="1" applyBorder="1" applyAlignment="1" applyProtection="1">
      <alignment horizontal="center" vertical="center"/>
    </xf>
    <xf numFmtId="183" fontId="0" fillId="0" borderId="17" xfId="1" applyNumberFormat="1" applyFont="1" applyBorder="1" applyAlignment="1" applyProtection="1">
      <alignment horizontal="center" vertical="center"/>
    </xf>
    <xf numFmtId="183" fontId="0" fillId="0" borderId="23" xfId="1" applyNumberFormat="1" applyFont="1" applyBorder="1" applyAlignment="1" applyProtection="1">
      <alignment horizontal="center" vertical="center"/>
    </xf>
    <xf numFmtId="187" fontId="0" fillId="0" borderId="17" xfId="1" applyNumberFormat="1" applyFont="1" applyBorder="1" applyAlignment="1" applyProtection="1">
      <alignment horizontal="center" vertical="center"/>
    </xf>
    <xf numFmtId="187" fontId="0" fillId="0" borderId="18" xfId="1" applyNumberFormat="1" applyFont="1" applyBorder="1" applyAlignment="1" applyProtection="1">
      <alignment horizontal="center" vertical="center"/>
    </xf>
    <xf numFmtId="187" fontId="0" fillId="0" borderId="19" xfId="1" applyNumberFormat="1" applyFont="1" applyBorder="1" applyAlignment="1" applyProtection="1">
      <alignment horizontal="center" vertical="center"/>
    </xf>
    <xf numFmtId="187" fontId="0" fillId="0" borderId="23" xfId="1" applyNumberFormat="1" applyFont="1" applyBorder="1" applyAlignment="1" applyProtection="1">
      <alignment horizontal="center" vertical="center"/>
    </xf>
    <xf numFmtId="187" fontId="0" fillId="0" borderId="24" xfId="1" applyNumberFormat="1" applyFont="1" applyBorder="1" applyAlignment="1" applyProtection="1">
      <alignment horizontal="center" vertical="center"/>
    </xf>
    <xf numFmtId="187" fontId="0" fillId="0" borderId="25" xfId="1" applyNumberFormat="1" applyFont="1" applyBorder="1" applyAlignment="1" applyProtection="1">
      <alignment horizontal="center" vertical="center"/>
    </xf>
    <xf numFmtId="183" fontId="0" fillId="2" borderId="6" xfId="1" applyNumberFormat="1" applyFont="1" applyFill="1" applyBorder="1" applyAlignment="1" applyProtection="1">
      <alignment horizontal="center" vertical="center"/>
    </xf>
    <xf numFmtId="183" fontId="0" fillId="2" borderId="1" xfId="1" applyNumberFormat="1" applyFont="1" applyFill="1" applyBorder="1" applyAlignment="1" applyProtection="1">
      <alignment horizontal="center" vertical="center"/>
    </xf>
    <xf numFmtId="183" fontId="0" fillId="2" borderId="43" xfId="1" applyNumberFormat="1" applyFont="1" applyFill="1" applyBorder="1" applyAlignment="1" applyProtection="1">
      <alignment horizontal="center" vertical="center"/>
    </xf>
    <xf numFmtId="0" fontId="9" fillId="8" borderId="0" xfId="2" applyFont="1" applyFill="1" applyAlignment="1" applyProtection="1">
      <alignment horizontal="left" vertical="center"/>
    </xf>
    <xf numFmtId="183" fontId="0" fillId="0" borderId="2" xfId="1" applyNumberFormat="1" applyFont="1" applyBorder="1" applyAlignment="1" applyProtection="1">
      <alignment vertical="center"/>
    </xf>
    <xf numFmtId="0" fontId="14" fillId="0" borderId="0" xfId="2" applyFont="1" applyAlignment="1" applyProtection="1">
      <alignment horizontal="right" vertical="center"/>
    </xf>
    <xf numFmtId="183" fontId="0" fillId="5" borderId="6" xfId="1" applyNumberFormat="1" applyFont="1" applyFill="1" applyBorder="1" applyAlignment="1" applyProtection="1">
      <alignment horizontal="center" vertical="center"/>
    </xf>
    <xf numFmtId="183" fontId="0" fillId="5" borderId="1" xfId="1" applyNumberFormat="1" applyFont="1" applyFill="1" applyBorder="1" applyAlignment="1" applyProtection="1">
      <alignment horizontal="center" vertical="center"/>
    </xf>
    <xf numFmtId="183" fontId="0" fillId="5" borderId="43" xfId="1" applyNumberFormat="1" applyFont="1" applyFill="1" applyBorder="1" applyAlignment="1" applyProtection="1">
      <alignment horizontal="center" vertical="center"/>
    </xf>
    <xf numFmtId="0" fontId="15" fillId="3" borderId="27" xfId="2" applyFill="1" applyBorder="1" applyAlignment="1" applyProtection="1">
      <alignment horizontal="center" vertical="center"/>
    </xf>
    <xf numFmtId="0" fontId="15" fillId="3" borderId="28" xfId="2" applyFill="1" applyBorder="1" applyAlignment="1" applyProtection="1">
      <alignment horizontal="center" vertical="center"/>
    </xf>
    <xf numFmtId="0" fontId="9" fillId="6" borderId="0" xfId="2" applyFont="1" applyFill="1" applyAlignment="1" applyProtection="1">
      <alignment horizontal="center" vertical="center"/>
    </xf>
    <xf numFmtId="0" fontId="9" fillId="8" borderId="0" xfId="2" applyFont="1" applyFill="1" applyAlignment="1" applyProtection="1">
      <alignment horizontal="center" vertical="center"/>
    </xf>
    <xf numFmtId="0" fontId="3" fillId="2" borderId="52" xfId="2" applyFont="1" applyFill="1" applyBorder="1" applyAlignment="1" applyProtection="1">
      <alignment horizontal="center" vertical="center" shrinkToFit="1"/>
    </xf>
    <xf numFmtId="0" fontId="3" fillId="2" borderId="53" xfId="2" applyFont="1" applyFill="1" applyBorder="1" applyAlignment="1" applyProtection="1">
      <alignment horizontal="center" vertical="center" shrinkToFit="1"/>
    </xf>
    <xf numFmtId="181" fontId="3" fillId="2" borderId="54" xfId="1" applyFont="1" applyFill="1" applyBorder="1" applyAlignment="1" applyProtection="1">
      <alignment horizontal="center" vertical="center" shrinkToFit="1"/>
    </xf>
    <xf numFmtId="0" fontId="0" fillId="2" borderId="55" xfId="2" applyFont="1" applyFill="1" applyBorder="1" applyAlignment="1" applyProtection="1">
      <alignment horizontal="center" vertical="center"/>
    </xf>
    <xf numFmtId="0" fontId="0" fillId="2" borderId="56" xfId="2" applyFont="1" applyFill="1" applyBorder="1" applyAlignment="1" applyProtection="1">
      <alignment horizontal="center" vertical="center"/>
    </xf>
    <xf numFmtId="183" fontId="0" fillId="2" borderId="57" xfId="1" applyNumberFormat="1" applyFont="1" applyFill="1" applyBorder="1" applyAlignment="1" applyProtection="1">
      <alignment horizontal="center" vertical="center"/>
    </xf>
    <xf numFmtId="0" fontId="0" fillId="2" borderId="17" xfId="2" applyFont="1" applyFill="1" applyBorder="1" applyAlignment="1" applyProtection="1">
      <alignment horizontal="center" vertical="center"/>
    </xf>
    <xf numFmtId="0" fontId="15" fillId="0" borderId="19" xfId="2" applyBorder="1" applyAlignment="1" applyProtection="1">
      <alignment horizontal="center" vertical="center"/>
    </xf>
    <xf numFmtId="183" fontId="0" fillId="0" borderId="58" xfId="1" applyNumberFormat="1" applyFont="1" applyBorder="1" applyAlignment="1" applyProtection="1">
      <alignment vertical="center"/>
    </xf>
    <xf numFmtId="183" fontId="0" fillId="0" borderId="38" xfId="1" applyNumberFormat="1" applyFont="1" applyBorder="1" applyAlignment="1" applyProtection="1">
      <alignment vertical="center"/>
    </xf>
    <xf numFmtId="186" fontId="0" fillId="0" borderId="58" xfId="3" applyNumberFormat="1" applyFont="1" applyBorder="1" applyAlignment="1" applyProtection="1">
      <alignment vertical="center"/>
    </xf>
    <xf numFmtId="0" fontId="15" fillId="0" borderId="38" xfId="2" applyBorder="1" applyProtection="1">
      <alignment vertical="center"/>
    </xf>
    <xf numFmtId="183" fontId="0" fillId="0" borderId="39" xfId="1" applyNumberFormat="1" applyFont="1" applyBorder="1" applyAlignment="1" applyProtection="1">
      <alignment vertical="center"/>
    </xf>
    <xf numFmtId="0" fontId="15" fillId="3" borderId="5" xfId="2" applyFill="1" applyBorder="1" applyAlignment="1" applyProtection="1">
      <alignment vertical="center"/>
    </xf>
    <xf numFmtId="0" fontId="0" fillId="2" borderId="23" xfId="2" applyFont="1" applyFill="1" applyBorder="1" applyAlignment="1" applyProtection="1">
      <alignment horizontal="center" vertical="center"/>
    </xf>
    <xf numFmtId="0" fontId="15" fillId="0" borderId="25" xfId="2" applyBorder="1" applyAlignment="1" applyProtection="1">
      <alignment horizontal="center" vertical="center"/>
    </xf>
    <xf numFmtId="183" fontId="0" fillId="0" borderId="59" xfId="1" applyNumberFormat="1" applyFont="1" applyBorder="1" applyAlignment="1" applyProtection="1">
      <alignment vertical="center"/>
    </xf>
    <xf numFmtId="183" fontId="0" fillId="0" borderId="24" xfId="1" applyNumberFormat="1" applyFont="1" applyBorder="1" applyAlignment="1" applyProtection="1">
      <alignment vertical="center"/>
    </xf>
    <xf numFmtId="186" fontId="0" fillId="0" borderId="59" xfId="3" applyNumberFormat="1" applyFont="1" applyBorder="1" applyAlignment="1" applyProtection="1">
      <alignment vertical="center"/>
    </xf>
    <xf numFmtId="0" fontId="15" fillId="0" borderId="24" xfId="2" applyBorder="1" applyProtection="1">
      <alignment vertical="center"/>
    </xf>
    <xf numFmtId="183" fontId="0" fillId="0" borderId="25" xfId="1" applyNumberFormat="1" applyFont="1" applyBorder="1" applyAlignment="1" applyProtection="1">
      <alignment vertical="center"/>
    </xf>
    <xf numFmtId="0" fontId="15" fillId="3" borderId="60" xfId="2" applyFill="1" applyBorder="1" applyAlignment="1" applyProtection="1">
      <alignment horizontal="center" vertical="center"/>
    </xf>
    <xf numFmtId="0" fontId="0" fillId="2" borderId="26" xfId="2" applyFont="1" applyFill="1" applyBorder="1" applyAlignment="1" applyProtection="1">
      <alignment horizontal="center" vertical="center"/>
    </xf>
    <xf numFmtId="0" fontId="15" fillId="0" borderId="28" xfId="2" applyBorder="1" applyAlignment="1" applyProtection="1">
      <alignment horizontal="center" vertical="center"/>
    </xf>
    <xf numFmtId="183" fontId="0" fillId="0" borderId="61" xfId="1" applyNumberFormat="1" applyFont="1" applyBorder="1" applyAlignment="1" applyProtection="1">
      <alignment vertical="center"/>
    </xf>
    <xf numFmtId="186" fontId="0" fillId="0" borderId="61" xfId="3" applyNumberFormat="1" applyFont="1" applyBorder="1" applyAlignment="1" applyProtection="1">
      <alignment vertical="center"/>
    </xf>
    <xf numFmtId="0" fontId="15" fillId="0" borderId="27" xfId="2" applyBorder="1" applyProtection="1">
      <alignment vertical="center"/>
    </xf>
    <xf numFmtId="183" fontId="0" fillId="0" borderId="28" xfId="1" applyNumberFormat="1" applyFont="1" applyBorder="1" applyAlignment="1" applyProtection="1">
      <alignment vertical="center"/>
    </xf>
    <xf numFmtId="0" fontId="15" fillId="3" borderId="11" xfId="2" applyFill="1" applyBorder="1" applyAlignment="1" applyProtection="1">
      <alignment vertical="center"/>
    </xf>
    <xf numFmtId="183" fontId="3" fillId="2" borderId="1" xfId="1" applyNumberFormat="1" applyFont="1" applyFill="1" applyBorder="1" applyAlignment="1" applyProtection="1">
      <alignment horizontal="center" vertical="center"/>
    </xf>
    <xf numFmtId="0" fontId="3" fillId="2" borderId="43" xfId="2" applyFont="1" applyFill="1" applyBorder="1" applyAlignment="1" applyProtection="1">
      <alignment horizontal="center" vertical="center"/>
    </xf>
    <xf numFmtId="183" fontId="0" fillId="0" borderId="18" xfId="1" applyNumberFormat="1" applyFont="1" applyBorder="1" applyAlignment="1" applyProtection="1">
      <alignment vertical="center"/>
    </xf>
    <xf numFmtId="183" fontId="0" fillId="0" borderId="19" xfId="1" applyNumberFormat="1" applyFont="1" applyBorder="1" applyAlignment="1" applyProtection="1">
      <alignment vertical="center"/>
    </xf>
    <xf numFmtId="183" fontId="0" fillId="0" borderId="49" xfId="1" applyNumberFormat="1" applyFont="1" applyBorder="1" applyAlignment="1" applyProtection="1">
      <alignment vertical="center"/>
    </xf>
    <xf numFmtId="183" fontId="0" fillId="0" borderId="50" xfId="1" applyNumberFormat="1" applyFont="1" applyBorder="1" applyAlignment="1" applyProtection="1">
      <alignment vertical="center"/>
    </xf>
    <xf numFmtId="183" fontId="0" fillId="0" borderId="62" xfId="1" applyNumberFormat="1" applyFont="1" applyBorder="1" applyAlignment="1" applyProtection="1">
      <alignment vertical="center"/>
    </xf>
    <xf numFmtId="183" fontId="0" fillId="0" borderId="63" xfId="1" applyNumberFormat="1" applyFont="1" applyBorder="1" applyAlignment="1" applyProtection="1">
      <alignment vertical="center"/>
    </xf>
    <xf numFmtId="183" fontId="0" fillId="0" borderId="64" xfId="1" applyNumberFormat="1" applyFont="1" applyBorder="1" applyAlignment="1" applyProtection="1">
      <alignment vertical="center"/>
    </xf>
    <xf numFmtId="183" fontId="0" fillId="0" borderId="66" xfId="1" applyNumberFormat="1" applyFont="1" applyBorder="1" applyAlignment="1" applyProtection="1">
      <alignment vertical="center"/>
    </xf>
    <xf numFmtId="183" fontId="0" fillId="0" borderId="67" xfId="1" applyNumberFormat="1" applyFont="1" applyBorder="1" applyAlignment="1" applyProtection="1">
      <alignment vertical="center"/>
    </xf>
    <xf numFmtId="0" fontId="0" fillId="10" borderId="0" xfId="0" applyFill="1" applyProtection="1"/>
    <xf numFmtId="0" fontId="0" fillId="11" borderId="0" xfId="0" applyFill="1" applyProtection="1"/>
    <xf numFmtId="0" fontId="15" fillId="11" borderId="0" xfId="0" applyFont="1" applyFill="1" applyProtection="1"/>
    <xf numFmtId="0" fontId="2" fillId="11" borderId="0" xfId="0" applyFont="1" applyFill="1" applyAlignment="1" applyProtection="1"/>
    <xf numFmtId="176" fontId="4" fillId="11" borderId="0" xfId="0" applyNumberFormat="1" applyFont="1" applyFill="1" applyBorder="1" applyAlignment="1" applyProtection="1">
      <alignment horizontal="center" vertical="center"/>
    </xf>
    <xf numFmtId="176" fontId="4" fillId="11" borderId="0" xfId="0" applyNumberFormat="1" applyFont="1" applyFill="1" applyBorder="1" applyAlignment="1" applyProtection="1">
      <alignment vertical="center"/>
    </xf>
    <xf numFmtId="191" fontId="4" fillId="11" borderId="0" xfId="0" applyNumberFormat="1" applyFont="1" applyFill="1" applyBorder="1" applyAlignment="1" applyProtection="1">
      <alignment vertical="center"/>
    </xf>
    <xf numFmtId="0" fontId="0" fillId="0" borderId="0" xfId="0" applyFill="1" applyProtection="1"/>
    <xf numFmtId="176" fontId="18" fillId="11" borderId="0" xfId="0" applyNumberFormat="1" applyFont="1" applyFill="1" applyBorder="1" applyAlignment="1" applyProtection="1">
      <alignment horizontal="left" vertical="center"/>
    </xf>
    <xf numFmtId="0" fontId="1" fillId="11" borderId="0" xfId="4" applyFont="1" applyFill="1" applyProtection="1">
      <alignment vertical="center"/>
    </xf>
    <xf numFmtId="0" fontId="1" fillId="17" borderId="0" xfId="4" applyFont="1" applyFill="1" applyProtection="1">
      <alignment vertical="center"/>
    </xf>
    <xf numFmtId="0" fontId="5" fillId="17" borderId="0" xfId="4" applyFont="1" applyFill="1" applyBorder="1" applyAlignment="1" applyProtection="1">
      <alignment vertical="center" shrinkToFit="1"/>
    </xf>
    <xf numFmtId="0" fontId="1" fillId="0" borderId="0" xfId="4" applyFont="1" applyFill="1" applyBorder="1" applyAlignment="1" applyProtection="1">
      <alignment horizontal="center" vertical="center"/>
    </xf>
    <xf numFmtId="0" fontId="1" fillId="0" borderId="0" xfId="4" applyFont="1" applyProtection="1">
      <alignment vertical="center"/>
    </xf>
    <xf numFmtId="193" fontId="1" fillId="0" borderId="0" xfId="4" applyNumberFormat="1" applyFont="1" applyFill="1" applyBorder="1" applyAlignment="1" applyProtection="1">
      <alignment horizontal="center" vertical="center"/>
    </xf>
    <xf numFmtId="0" fontId="1" fillId="19" borderId="0" xfId="4" applyFont="1" applyFill="1" applyProtection="1">
      <alignment vertical="center"/>
    </xf>
    <xf numFmtId="0" fontId="1" fillId="0" borderId="0" xfId="4" applyFont="1" applyBorder="1" applyProtection="1">
      <alignment vertical="center"/>
    </xf>
    <xf numFmtId="0" fontId="1" fillId="19" borderId="0" xfId="4" applyFont="1" applyFill="1" applyBorder="1" applyProtection="1">
      <alignment vertical="center"/>
    </xf>
    <xf numFmtId="0" fontId="1" fillId="0" borderId="0" xfId="4" applyFont="1" applyBorder="1" applyAlignment="1" applyProtection="1"/>
    <xf numFmtId="0" fontId="1" fillId="0" borderId="0" xfId="4" applyFont="1" applyBorder="1" applyAlignment="1" applyProtection="1">
      <alignment vertical="center"/>
    </xf>
    <xf numFmtId="0" fontId="1" fillId="19" borderId="0" xfId="4" applyFont="1" applyFill="1" applyBorder="1" applyAlignment="1" applyProtection="1">
      <alignment vertical="center"/>
    </xf>
    <xf numFmtId="0" fontId="1" fillId="0" borderId="0" xfId="4" applyFont="1" applyFill="1" applyBorder="1" applyProtection="1">
      <alignment vertical="center"/>
    </xf>
    <xf numFmtId="0" fontId="1" fillId="19" borderId="0" xfId="4" applyFont="1" applyFill="1" applyBorder="1" applyAlignment="1" applyProtection="1">
      <alignment horizontal="center" vertical="top"/>
    </xf>
    <xf numFmtId="179" fontId="1" fillId="19" borderId="0" xfId="5" applyNumberFormat="1" applyFont="1" applyFill="1" applyBorder="1" applyAlignment="1" applyProtection="1">
      <alignment horizontal="right" vertical="top" indent="1" shrinkToFit="1"/>
    </xf>
    <xf numFmtId="0" fontId="1" fillId="0" borderId="0" xfId="4" applyFont="1" applyBorder="1" applyAlignment="1" applyProtection="1">
      <alignment horizontal="right" vertical="center"/>
    </xf>
    <xf numFmtId="0" fontId="1" fillId="0" borderId="0" xfId="4" applyFont="1" applyFill="1" applyBorder="1" applyAlignment="1" applyProtection="1">
      <alignment vertical="top"/>
    </xf>
    <xf numFmtId="0" fontId="1" fillId="0" borderId="0" xfId="4" applyFont="1" applyFill="1" applyProtection="1">
      <alignment vertical="center"/>
    </xf>
    <xf numFmtId="0" fontId="3" fillId="6" borderId="2" xfId="2" applyFont="1" applyFill="1" applyBorder="1" applyAlignment="1" applyProtection="1">
      <alignment vertical="center" shrinkToFit="1"/>
    </xf>
    <xf numFmtId="183" fontId="0" fillId="22" borderId="32" xfId="1" applyNumberFormat="1" applyFont="1" applyFill="1" applyBorder="1" applyAlignment="1" applyProtection="1">
      <alignment horizontal="center" vertical="center"/>
    </xf>
    <xf numFmtId="183" fontId="0" fillId="22" borderId="33" xfId="1" applyNumberFormat="1" applyFont="1" applyFill="1" applyBorder="1" applyAlignment="1" applyProtection="1">
      <alignment horizontal="center" vertical="center"/>
    </xf>
    <xf numFmtId="0" fontId="0" fillId="3" borderId="26" xfId="3" applyNumberFormat="1" applyFont="1" applyFill="1" applyBorder="1" applyAlignment="1" applyProtection="1">
      <alignment horizontal="center" vertical="center"/>
    </xf>
    <xf numFmtId="0" fontId="0" fillId="3" borderId="27" xfId="3" applyNumberFormat="1" applyFont="1" applyFill="1" applyBorder="1" applyAlignment="1" applyProtection="1">
      <alignment horizontal="center" vertical="center"/>
    </xf>
    <xf numFmtId="0" fontId="0" fillId="3" borderId="28" xfId="3" applyNumberFormat="1" applyFont="1" applyFill="1" applyBorder="1" applyAlignment="1" applyProtection="1">
      <alignment horizontal="center" vertical="center"/>
    </xf>
    <xf numFmtId="183" fontId="0" fillId="24" borderId="24" xfId="1" applyNumberFormat="1" applyFont="1" applyFill="1" applyBorder="1" applyAlignment="1" applyProtection="1">
      <alignment horizontal="center" vertical="center"/>
    </xf>
    <xf numFmtId="183" fontId="0" fillId="25" borderId="24" xfId="1" applyNumberFormat="1" applyFont="1" applyFill="1" applyBorder="1" applyAlignment="1" applyProtection="1">
      <alignment horizontal="center" vertical="center"/>
    </xf>
    <xf numFmtId="183" fontId="0" fillId="25" borderId="25" xfId="1" applyNumberFormat="1" applyFont="1" applyFill="1" applyBorder="1" applyAlignment="1" applyProtection="1">
      <alignment horizontal="center" vertical="center"/>
    </xf>
    <xf numFmtId="187" fontId="0" fillId="0" borderId="6" xfId="1" applyNumberFormat="1" applyFont="1" applyBorder="1" applyAlignment="1" applyProtection="1">
      <alignment horizontal="center" vertical="center"/>
    </xf>
    <xf numFmtId="187" fontId="0" fillId="0" borderId="1" xfId="1" applyNumberFormat="1" applyFont="1" applyBorder="1" applyAlignment="1" applyProtection="1">
      <alignment horizontal="center" vertical="center"/>
    </xf>
    <xf numFmtId="187" fontId="0" fillId="0" borderId="43" xfId="1" applyNumberFormat="1" applyFont="1" applyBorder="1" applyAlignment="1" applyProtection="1">
      <alignment horizontal="center" vertical="center"/>
    </xf>
    <xf numFmtId="176" fontId="23" fillId="13" borderId="74" xfId="0" applyNumberFormat="1" applyFont="1" applyFill="1" applyBorder="1" applyAlignment="1" applyProtection="1">
      <alignment horizontal="center" vertical="center" wrapText="1"/>
    </xf>
    <xf numFmtId="176" fontId="4" fillId="0" borderId="98" xfId="0" applyNumberFormat="1" applyFont="1" applyFill="1" applyBorder="1" applyAlignment="1" applyProtection="1">
      <alignment vertical="center"/>
      <protection locked="0"/>
    </xf>
    <xf numFmtId="0" fontId="0" fillId="0" borderId="0" xfId="2" applyFont="1" applyAlignment="1" applyProtection="1">
      <alignment horizontal="right" vertical="center"/>
    </xf>
    <xf numFmtId="191" fontId="4" fillId="11" borderId="145" xfId="0" applyNumberFormat="1" applyFont="1" applyFill="1" applyBorder="1" applyAlignment="1" applyProtection="1">
      <alignment vertical="center"/>
    </xf>
    <xf numFmtId="0" fontId="15" fillId="0" borderId="0" xfId="2" applyAlignment="1" applyProtection="1">
      <alignment vertical="center"/>
    </xf>
    <xf numFmtId="0" fontId="15" fillId="0" borderId="0" xfId="2" applyAlignment="1" applyProtection="1">
      <alignment horizontal="right" vertical="center"/>
    </xf>
    <xf numFmtId="0" fontId="0" fillId="0" borderId="0" xfId="0" applyAlignment="1">
      <alignment vertical="center"/>
    </xf>
    <xf numFmtId="0" fontId="0" fillId="0" borderId="164" xfId="2" applyFont="1" applyBorder="1" applyAlignment="1" applyProtection="1">
      <alignment horizontal="right" vertical="center"/>
    </xf>
    <xf numFmtId="0" fontId="0" fillId="13" borderId="0" xfId="0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164" xfId="0" applyBorder="1" applyAlignment="1">
      <alignment vertical="center"/>
    </xf>
    <xf numFmtId="0" fontId="0" fillId="0" borderId="156" xfId="0" applyBorder="1" applyAlignment="1">
      <alignment horizontal="right" vertical="center"/>
    </xf>
    <xf numFmtId="0" fontId="0" fillId="13" borderId="156" xfId="0" applyFill="1" applyBorder="1" applyAlignment="1">
      <alignment vertical="center"/>
    </xf>
    <xf numFmtId="0" fontId="0" fillId="13" borderId="114" xfId="0" applyFill="1" applyBorder="1" applyAlignment="1">
      <alignment vertical="center"/>
    </xf>
    <xf numFmtId="0" fontId="0" fillId="0" borderId="156" xfId="0" applyBorder="1" applyAlignment="1">
      <alignment vertical="center"/>
    </xf>
    <xf numFmtId="0" fontId="15" fillId="0" borderId="0" xfId="2" applyBorder="1" applyAlignment="1" applyProtection="1">
      <alignment vertical="center"/>
    </xf>
    <xf numFmtId="0" fontId="15" fillId="0" borderId="164" xfId="2" applyBorder="1" applyAlignment="1" applyProtection="1">
      <alignment vertical="center"/>
    </xf>
    <xf numFmtId="0" fontId="15" fillId="0" borderId="156" xfId="2" applyBorder="1" applyAlignment="1" applyProtection="1">
      <alignment vertical="center"/>
    </xf>
    <xf numFmtId="0" fontId="0" fillId="27" borderId="156" xfId="0" applyFill="1" applyBorder="1" applyAlignment="1">
      <alignment vertical="center"/>
    </xf>
    <xf numFmtId="0" fontId="24" fillId="0" borderId="0" xfId="0" applyFont="1"/>
    <xf numFmtId="0" fontId="0" fillId="26" borderId="0" xfId="0" applyFill="1"/>
    <xf numFmtId="0" fontId="15" fillId="26" borderId="0" xfId="2" applyFill="1" applyBorder="1" applyProtection="1">
      <alignment vertical="center"/>
    </xf>
    <xf numFmtId="0" fontId="15" fillId="26" borderId="0" xfId="2" applyFill="1" applyProtection="1">
      <alignment vertical="center"/>
    </xf>
    <xf numFmtId="0" fontId="15" fillId="26" borderId="0" xfId="2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 wrapText="1"/>
    </xf>
    <xf numFmtId="0" fontId="0" fillId="11" borderId="0" xfId="0" applyFill="1" applyAlignment="1" applyProtection="1">
      <alignment vertical="top"/>
    </xf>
    <xf numFmtId="0" fontId="0" fillId="11" borderId="0" xfId="0" applyFill="1" applyAlignment="1" applyProtection="1">
      <alignment horizontal="left" vertical="center"/>
    </xf>
    <xf numFmtId="0" fontId="0" fillId="17" borderId="0" xfId="0" applyFill="1" applyProtection="1"/>
    <xf numFmtId="186" fontId="15" fillId="0" borderId="14" xfId="2" applyNumberFormat="1" applyFont="1" applyFill="1" applyBorder="1" applyProtection="1">
      <alignment vertical="center"/>
    </xf>
    <xf numFmtId="186" fontId="15" fillId="0" borderId="11" xfId="2" applyNumberFormat="1" applyFont="1" applyFill="1" applyBorder="1" applyProtection="1">
      <alignment vertical="center"/>
    </xf>
    <xf numFmtId="183" fontId="0" fillId="0" borderId="64" xfId="1" applyNumberFormat="1" applyFont="1" applyFill="1" applyBorder="1" applyAlignment="1" applyProtection="1">
      <alignment vertical="center"/>
    </xf>
    <xf numFmtId="183" fontId="0" fillId="0" borderId="65" xfId="1" applyNumberFormat="1" applyFont="1" applyFill="1" applyBorder="1" applyAlignment="1" applyProtection="1">
      <alignment vertical="center"/>
    </xf>
    <xf numFmtId="0" fontId="0" fillId="28" borderId="0" xfId="0" applyFill="1" applyAlignment="1" applyProtection="1">
      <alignment horizontal="center" vertical="center"/>
      <protection locked="0"/>
    </xf>
    <xf numFmtId="0" fontId="24" fillId="0" borderId="8" xfId="2" applyFont="1" applyFill="1" applyBorder="1" applyProtection="1">
      <alignment vertical="center"/>
    </xf>
    <xf numFmtId="184" fontId="24" fillId="0" borderId="7" xfId="2" applyNumberFormat="1" applyFont="1" applyFill="1" applyBorder="1" applyAlignment="1" applyProtection="1">
      <alignment horizontal="right" vertical="center"/>
    </xf>
    <xf numFmtId="0" fontId="24" fillId="0" borderId="7" xfId="2" applyFont="1" applyFill="1" applyBorder="1" applyProtection="1">
      <alignment vertical="center"/>
    </xf>
    <xf numFmtId="186" fontId="24" fillId="0" borderId="13" xfId="2" applyNumberFormat="1" applyFont="1" applyFill="1" applyBorder="1" applyProtection="1">
      <alignment vertical="center"/>
    </xf>
    <xf numFmtId="186" fontId="24" fillId="0" borderId="12" xfId="2" applyNumberFormat="1" applyFont="1" applyFill="1" applyBorder="1" applyAlignment="1" applyProtection="1">
      <alignment horizontal="right" vertical="center"/>
    </xf>
    <xf numFmtId="186" fontId="24" fillId="0" borderId="12" xfId="2" applyNumberFormat="1" applyFont="1" applyFill="1" applyBorder="1" applyProtection="1">
      <alignment vertical="center"/>
    </xf>
    <xf numFmtId="186" fontId="24" fillId="0" borderId="17" xfId="2" applyNumberFormat="1" applyFont="1" applyBorder="1" applyProtection="1">
      <alignment vertical="center"/>
    </xf>
    <xf numFmtId="186" fontId="24" fillId="0" borderId="23" xfId="2" applyNumberFormat="1" applyFont="1" applyBorder="1" applyProtection="1">
      <alignment vertical="center"/>
    </xf>
    <xf numFmtId="186" fontId="24" fillId="0" borderId="24" xfId="2" applyNumberFormat="1" applyFont="1" applyBorder="1" applyProtection="1">
      <alignment vertical="center"/>
    </xf>
    <xf numFmtId="188" fontId="24" fillId="24" borderId="24" xfId="3" applyFont="1" applyFill="1" applyBorder="1" applyAlignment="1" applyProtection="1">
      <alignment horizontal="center" vertical="center"/>
    </xf>
    <xf numFmtId="190" fontId="24" fillId="24" borderId="24" xfId="3" applyNumberFormat="1" applyFont="1" applyFill="1" applyBorder="1" applyAlignment="1" applyProtection="1">
      <alignment vertical="center"/>
    </xf>
    <xf numFmtId="186" fontId="24" fillId="0" borderId="26" xfId="3" applyNumberFormat="1" applyFont="1" applyBorder="1" applyAlignment="1" applyProtection="1">
      <alignment vertical="center"/>
    </xf>
    <xf numFmtId="183" fontId="24" fillId="0" borderId="27" xfId="1" applyNumberFormat="1" applyFont="1" applyBorder="1" applyAlignment="1" applyProtection="1">
      <alignment vertical="center"/>
    </xf>
    <xf numFmtId="188" fontId="24" fillId="25" borderId="27" xfId="3" applyFont="1" applyFill="1" applyBorder="1" applyAlignment="1" applyProtection="1">
      <alignment horizontal="center" vertical="center"/>
    </xf>
    <xf numFmtId="186" fontId="24" fillId="0" borderId="16" xfId="2" applyNumberFormat="1" applyFont="1" applyBorder="1" applyProtection="1">
      <alignment vertical="center"/>
    </xf>
    <xf numFmtId="186" fontId="24" fillId="0" borderId="45" xfId="2" applyNumberFormat="1" applyFont="1" applyBorder="1" applyProtection="1">
      <alignment vertical="center"/>
    </xf>
    <xf numFmtId="186" fontId="24" fillId="0" borderId="17" xfId="3" applyNumberFormat="1" applyFont="1" applyBorder="1" applyAlignment="1" applyProtection="1">
      <alignment vertical="center"/>
    </xf>
    <xf numFmtId="186" fontId="24" fillId="0" borderId="18" xfId="3" applyNumberFormat="1" applyFont="1" applyBorder="1" applyAlignment="1" applyProtection="1">
      <alignment vertical="center"/>
    </xf>
    <xf numFmtId="186" fontId="24" fillId="0" borderId="19" xfId="3" applyNumberFormat="1" applyFont="1" applyBorder="1" applyAlignment="1" applyProtection="1">
      <alignment vertical="center"/>
    </xf>
    <xf numFmtId="186" fontId="24" fillId="0" borderId="46" xfId="2" applyNumberFormat="1" applyFont="1" applyBorder="1" applyProtection="1">
      <alignment vertical="center"/>
    </xf>
    <xf numFmtId="186" fontId="24" fillId="0" borderId="23" xfId="3" applyNumberFormat="1" applyFont="1" applyBorder="1" applyAlignment="1" applyProtection="1">
      <alignment vertical="center"/>
    </xf>
    <xf numFmtId="186" fontId="24" fillId="0" borderId="24" xfId="3" applyNumberFormat="1" applyFont="1" applyBorder="1" applyAlignment="1" applyProtection="1">
      <alignment vertical="center"/>
    </xf>
    <xf numFmtId="186" fontId="24" fillId="0" borderId="25" xfId="3" applyNumberFormat="1" applyFont="1" applyBorder="1" applyAlignment="1" applyProtection="1">
      <alignment vertical="center"/>
    </xf>
    <xf numFmtId="186" fontId="24" fillId="0" borderId="47" xfId="2" applyNumberFormat="1" applyFont="1" applyBorder="1" applyProtection="1">
      <alignment vertical="center"/>
    </xf>
    <xf numFmtId="186" fontId="24" fillId="0" borderId="48" xfId="2" applyNumberFormat="1" applyFont="1" applyBorder="1" applyProtection="1">
      <alignment vertical="center"/>
    </xf>
    <xf numFmtId="186" fontId="24" fillId="0" borderId="47" xfId="3" applyNumberFormat="1" applyFont="1" applyBorder="1" applyAlignment="1" applyProtection="1">
      <alignment vertical="center"/>
    </xf>
    <xf numFmtId="186" fontId="24" fillId="0" borderId="49" xfId="3" applyNumberFormat="1" applyFont="1" applyBorder="1" applyAlignment="1" applyProtection="1">
      <alignment vertical="center"/>
    </xf>
    <xf numFmtId="186" fontId="24" fillId="0" borderId="50" xfId="3" applyNumberFormat="1" applyFont="1" applyBorder="1" applyAlignment="1" applyProtection="1">
      <alignment vertical="center"/>
    </xf>
    <xf numFmtId="186" fontId="24" fillId="0" borderId="26" xfId="2" applyNumberFormat="1" applyFont="1" applyBorder="1" applyProtection="1">
      <alignment vertical="center"/>
    </xf>
    <xf numFmtId="186" fontId="24" fillId="0" borderId="51" xfId="2" applyNumberFormat="1" applyFont="1" applyBorder="1" applyProtection="1">
      <alignment vertical="center"/>
    </xf>
    <xf numFmtId="186" fontId="24" fillId="0" borderId="27" xfId="3" applyNumberFormat="1" applyFont="1" applyBorder="1" applyAlignment="1" applyProtection="1">
      <alignment vertical="center"/>
    </xf>
    <xf numFmtId="186" fontId="24" fillId="0" borderId="28" xfId="3" applyNumberFormat="1" applyFont="1" applyBorder="1" applyAlignment="1" applyProtection="1">
      <alignment vertical="center"/>
    </xf>
    <xf numFmtId="183" fontId="24" fillId="29" borderId="24" xfId="1" applyNumberFormat="1" applyFont="1" applyFill="1" applyBorder="1" applyAlignment="1" applyProtection="1">
      <alignment vertical="center"/>
    </xf>
    <xf numFmtId="183" fontId="24" fillId="29" borderId="27" xfId="1" applyNumberFormat="1" applyFont="1" applyFill="1" applyBorder="1" applyAlignment="1" applyProtection="1">
      <alignment vertical="center"/>
    </xf>
    <xf numFmtId="0" fontId="3" fillId="2" borderId="1" xfId="2" applyFont="1" applyFill="1" applyBorder="1" applyAlignment="1" applyProtection="1">
      <alignment horizontal="center" vertical="center"/>
    </xf>
    <xf numFmtId="179" fontId="1" fillId="0" borderId="0" xfId="5" applyNumberFormat="1" applyFont="1" applyBorder="1" applyAlignment="1" applyProtection="1">
      <alignment horizontal="right" vertical="top" indent="1" shrinkToFit="1"/>
    </xf>
    <xf numFmtId="182" fontId="1" fillId="0" borderId="0" xfId="4" applyNumberFormat="1" applyFont="1" applyFill="1" applyBorder="1" applyAlignment="1" applyProtection="1">
      <alignment horizontal="center" vertical="top"/>
    </xf>
    <xf numFmtId="179" fontId="1" fillId="0" borderId="0" xfId="5" applyNumberFormat="1" applyFont="1" applyFill="1" applyBorder="1" applyAlignment="1" applyProtection="1">
      <alignment horizontal="right" vertical="top" indent="1" shrinkToFit="1"/>
    </xf>
    <xf numFmtId="0" fontId="0" fillId="2" borderId="2" xfId="2" applyFont="1" applyFill="1" applyBorder="1" applyAlignment="1" applyProtection="1">
      <alignment horizontal="center" vertical="center" shrinkToFit="1"/>
    </xf>
    <xf numFmtId="186" fontId="15" fillId="0" borderId="11" xfId="2" applyNumberFormat="1" applyFont="1" applyFill="1" applyBorder="1" applyAlignment="1" applyProtection="1">
      <alignment horizontal="right" vertical="center"/>
    </xf>
    <xf numFmtId="0" fontId="24" fillId="14" borderId="5" xfId="2" applyFont="1" applyFill="1" applyBorder="1" applyProtection="1">
      <alignment vertical="center"/>
    </xf>
    <xf numFmtId="186" fontId="24" fillId="14" borderId="12" xfId="2" applyNumberFormat="1" applyFont="1" applyFill="1" applyBorder="1" applyProtection="1">
      <alignment vertical="center"/>
    </xf>
    <xf numFmtId="186" fontId="15" fillId="14" borderId="11" xfId="2" applyNumberFormat="1" applyFont="1" applyFill="1" applyBorder="1" applyProtection="1">
      <alignment vertical="center"/>
    </xf>
    <xf numFmtId="186" fontId="24" fillId="14" borderId="23" xfId="2" applyNumberFormat="1" applyFont="1" applyFill="1" applyBorder="1" applyProtection="1">
      <alignment vertical="center"/>
    </xf>
    <xf numFmtId="186" fontId="24" fillId="14" borderId="24" xfId="2" applyNumberFormat="1" applyFont="1" applyFill="1" applyBorder="1" applyProtection="1">
      <alignment vertical="center"/>
    </xf>
    <xf numFmtId="186" fontId="24" fillId="14" borderId="31" xfId="2" applyNumberFormat="1" applyFont="1" applyFill="1" applyBorder="1" applyProtection="1">
      <alignment vertical="center"/>
    </xf>
    <xf numFmtId="186" fontId="24" fillId="14" borderId="32" xfId="2" applyNumberFormat="1" applyFont="1" applyFill="1" applyBorder="1" applyProtection="1">
      <alignment vertical="center"/>
    </xf>
    <xf numFmtId="186" fontId="24" fillId="14" borderId="36" xfId="2" applyNumberFormat="1" applyFont="1" applyFill="1" applyBorder="1" applyProtection="1">
      <alignment vertical="center"/>
    </xf>
    <xf numFmtId="186" fontId="24" fillId="14" borderId="37" xfId="2" applyNumberFormat="1" applyFont="1" applyFill="1" applyBorder="1" applyProtection="1">
      <alignment vertical="center"/>
    </xf>
    <xf numFmtId="183" fontId="0" fillId="22" borderId="37" xfId="1" applyNumberFormat="1" applyFont="1" applyFill="1" applyBorder="1" applyAlignment="1" applyProtection="1">
      <alignment horizontal="center" vertical="center"/>
    </xf>
    <xf numFmtId="183" fontId="0" fillId="22" borderId="168" xfId="1" applyNumberFormat="1" applyFont="1" applyFill="1" applyBorder="1" applyAlignment="1" applyProtection="1">
      <alignment horizontal="center" vertical="center"/>
    </xf>
    <xf numFmtId="183" fontId="0" fillId="23" borderId="34" xfId="1" applyNumberFormat="1" applyFont="1" applyFill="1" applyBorder="1" applyAlignment="1" applyProtection="1">
      <alignment horizontal="center" vertical="center"/>
    </xf>
    <xf numFmtId="183" fontId="0" fillId="23" borderId="35" xfId="1" applyNumberFormat="1" applyFont="1" applyFill="1" applyBorder="1" applyAlignment="1" applyProtection="1">
      <alignment horizontal="center" vertical="center"/>
    </xf>
    <xf numFmtId="0" fontId="3" fillId="0" borderId="0" xfId="2" applyFont="1" applyFill="1" applyBorder="1" applyAlignment="1" applyProtection="1">
      <alignment horizontal="center" vertical="center"/>
    </xf>
    <xf numFmtId="183" fontId="0" fillId="0" borderId="0" xfId="1" applyNumberFormat="1" applyFont="1" applyFill="1" applyBorder="1" applyAlignment="1" applyProtection="1">
      <alignment horizontal="center" vertical="center"/>
    </xf>
    <xf numFmtId="0" fontId="15" fillId="29" borderId="0" xfId="2" applyFill="1" applyProtection="1">
      <alignment vertical="center"/>
    </xf>
    <xf numFmtId="0" fontId="0" fillId="29" borderId="0" xfId="2" applyFont="1" applyFill="1" applyProtection="1">
      <alignment vertical="center"/>
    </xf>
    <xf numFmtId="0" fontId="10" fillId="30" borderId="0" xfId="2" applyFont="1" applyFill="1" applyAlignment="1" applyProtection="1">
      <alignment horizontal="center" vertical="center"/>
    </xf>
    <xf numFmtId="0" fontId="24" fillId="29" borderId="0" xfId="0" applyFont="1" applyFill="1"/>
    <xf numFmtId="0" fontId="0" fillId="29" borderId="0" xfId="0" applyFill="1"/>
    <xf numFmtId="0" fontId="0" fillId="29" borderId="0" xfId="2" applyFont="1" applyFill="1" applyAlignment="1" applyProtection="1">
      <alignment horizontal="right" vertical="center"/>
    </xf>
    <xf numFmtId="186" fontId="24" fillId="14" borderId="47" xfId="2" applyNumberFormat="1" applyFont="1" applyFill="1" applyBorder="1" applyProtection="1">
      <alignment vertical="center"/>
    </xf>
    <xf numFmtId="186" fontId="24" fillId="14" borderId="49" xfId="2" applyNumberFormat="1" applyFont="1" applyFill="1" applyBorder="1" applyProtection="1">
      <alignment vertical="center"/>
    </xf>
    <xf numFmtId="183" fontId="0" fillId="5" borderId="32" xfId="1" applyNumberFormat="1" applyFont="1" applyFill="1" applyBorder="1" applyAlignment="1" applyProtection="1">
      <alignment horizontal="center" vertical="center"/>
    </xf>
    <xf numFmtId="183" fontId="0" fillId="5" borderId="33" xfId="1" applyNumberFormat="1" applyFont="1" applyFill="1" applyBorder="1" applyAlignment="1" applyProtection="1">
      <alignment horizontal="center" vertical="center"/>
    </xf>
    <xf numFmtId="183" fontId="0" fillId="2" borderId="14" xfId="1" applyNumberFormat="1" applyFont="1" applyFill="1" applyBorder="1" applyAlignment="1" applyProtection="1">
      <alignment horizontal="center" vertical="center"/>
    </xf>
    <xf numFmtId="183" fontId="0" fillId="2" borderId="44" xfId="1" applyNumberFormat="1" applyFont="1" applyFill="1" applyBorder="1" applyAlignment="1" applyProtection="1">
      <alignment horizontal="center" vertical="center"/>
    </xf>
    <xf numFmtId="183" fontId="0" fillId="2" borderId="27" xfId="1" applyNumberFormat="1" applyFont="1" applyFill="1" applyBorder="1" applyAlignment="1" applyProtection="1">
      <alignment horizontal="center" vertical="center"/>
    </xf>
    <xf numFmtId="188" fontId="24" fillId="22" borderId="171" xfId="3" applyFont="1" applyFill="1" applyBorder="1" applyAlignment="1" applyProtection="1">
      <alignment horizontal="center" vertical="center"/>
    </xf>
    <xf numFmtId="188" fontId="24" fillId="22" borderId="172" xfId="3" applyFont="1" applyFill="1" applyBorder="1" applyAlignment="1" applyProtection="1">
      <alignment horizontal="center" vertical="center"/>
    </xf>
    <xf numFmtId="189" fontId="24" fillId="23" borderId="173" xfId="2" applyNumberFormat="1" applyFont="1" applyFill="1" applyBorder="1" applyAlignment="1" applyProtection="1">
      <alignment horizontal="center" vertical="center"/>
    </xf>
    <xf numFmtId="186" fontId="24" fillId="22" borderId="174" xfId="2" applyNumberFormat="1" applyFont="1" applyFill="1" applyBorder="1" applyProtection="1">
      <alignment vertical="center"/>
    </xf>
    <xf numFmtId="186" fontId="24" fillId="22" borderId="175" xfId="2" applyNumberFormat="1" applyFont="1" applyFill="1" applyBorder="1" applyProtection="1">
      <alignment vertical="center"/>
    </xf>
    <xf numFmtId="186" fontId="24" fillId="23" borderId="176" xfId="2" applyNumberFormat="1" applyFont="1" applyFill="1" applyBorder="1" applyProtection="1">
      <alignment vertical="center"/>
    </xf>
    <xf numFmtId="189" fontId="24" fillId="22" borderId="177" xfId="2" applyNumberFormat="1" applyFont="1" applyFill="1" applyBorder="1" applyAlignment="1" applyProtection="1">
      <alignment horizontal="center" vertical="center"/>
    </xf>
    <xf numFmtId="189" fontId="24" fillId="22" borderId="178" xfId="2" applyNumberFormat="1" applyFont="1" applyFill="1" applyBorder="1" applyAlignment="1" applyProtection="1">
      <alignment horizontal="center" vertical="center"/>
    </xf>
    <xf numFmtId="189" fontId="24" fillId="23" borderId="170" xfId="2" applyNumberFormat="1" applyFont="1" applyFill="1" applyBorder="1" applyAlignment="1" applyProtection="1">
      <alignment horizontal="center" vertical="center"/>
    </xf>
    <xf numFmtId="183" fontId="0" fillId="5" borderId="54" xfId="1" applyNumberFormat="1" applyFont="1" applyFill="1" applyBorder="1" applyAlignment="1" applyProtection="1">
      <alignment horizontal="center" vertical="center"/>
    </xf>
    <xf numFmtId="0" fontId="1" fillId="21" borderId="127" xfId="4" applyFont="1" applyFill="1" applyBorder="1" applyAlignment="1" applyProtection="1">
      <alignment vertical="center" wrapText="1"/>
    </xf>
    <xf numFmtId="0" fontId="1" fillId="21" borderId="128" xfId="4" applyFont="1" applyFill="1" applyBorder="1" applyAlignment="1" applyProtection="1">
      <alignment vertical="center" wrapText="1"/>
    </xf>
    <xf numFmtId="0" fontId="1" fillId="21" borderId="129" xfId="4" applyFont="1" applyFill="1" applyBorder="1" applyAlignment="1" applyProtection="1">
      <alignment vertical="center" wrapText="1"/>
    </xf>
    <xf numFmtId="0" fontId="1" fillId="21" borderId="124" xfId="4" applyFont="1" applyFill="1" applyBorder="1" applyAlignment="1" applyProtection="1">
      <alignment vertical="center" wrapText="1"/>
    </xf>
    <xf numFmtId="0" fontId="1" fillId="21" borderId="0" xfId="4" applyFont="1" applyFill="1" applyBorder="1" applyAlignment="1" applyProtection="1">
      <alignment vertical="center" wrapText="1"/>
    </xf>
    <xf numFmtId="0" fontId="1" fillId="21" borderId="130" xfId="4" applyFont="1" applyFill="1" applyBorder="1" applyAlignment="1" applyProtection="1">
      <alignment vertical="center" wrapText="1"/>
    </xf>
    <xf numFmtId="0" fontId="1" fillId="21" borderId="131" xfId="4" applyFont="1" applyFill="1" applyBorder="1" applyAlignment="1" applyProtection="1">
      <alignment vertical="center" wrapText="1"/>
    </xf>
    <xf numFmtId="0" fontId="1" fillId="21" borderId="132" xfId="4" applyFont="1" applyFill="1" applyBorder="1" applyAlignment="1" applyProtection="1">
      <alignment vertical="center" wrapText="1"/>
    </xf>
    <xf numFmtId="0" fontId="1" fillId="21" borderId="133" xfId="4" applyFont="1" applyFill="1" applyBorder="1" applyAlignment="1" applyProtection="1">
      <alignment vertical="center" wrapText="1"/>
    </xf>
    <xf numFmtId="0" fontId="1" fillId="11" borderId="95" xfId="4" applyFont="1" applyFill="1" applyBorder="1" applyAlignment="1" applyProtection="1">
      <alignment horizontal="center" vertical="center"/>
    </xf>
    <xf numFmtId="0" fontId="1" fillId="11" borderId="86" xfId="4" applyFont="1" applyFill="1" applyBorder="1" applyAlignment="1" applyProtection="1">
      <alignment horizontal="center" vertical="center"/>
    </xf>
    <xf numFmtId="0" fontId="1" fillId="11" borderId="121" xfId="4" applyFont="1" applyFill="1" applyBorder="1" applyAlignment="1" applyProtection="1">
      <alignment horizontal="center" vertical="center"/>
    </xf>
    <xf numFmtId="0" fontId="1" fillId="11" borderId="122" xfId="4" applyFont="1" applyFill="1" applyBorder="1" applyAlignment="1" applyProtection="1">
      <alignment horizontal="center" vertical="center"/>
    </xf>
    <xf numFmtId="0" fontId="1" fillId="11" borderId="102" xfId="4" applyFont="1" applyFill="1" applyBorder="1" applyAlignment="1" applyProtection="1">
      <alignment horizontal="center" vertical="center"/>
    </xf>
    <xf numFmtId="0" fontId="1" fillId="11" borderId="103" xfId="4" applyFont="1" applyFill="1" applyBorder="1" applyAlignment="1" applyProtection="1">
      <alignment horizontal="center" vertical="center"/>
    </xf>
    <xf numFmtId="179" fontId="7" fillId="0" borderId="116" xfId="4" applyNumberFormat="1" applyFont="1" applyBorder="1" applyAlignment="1" applyProtection="1">
      <alignment horizontal="right" vertical="center" shrinkToFit="1"/>
    </xf>
    <xf numFmtId="179" fontId="7" fillId="0" borderId="85" xfId="4" applyNumberFormat="1" applyFont="1" applyBorder="1" applyAlignment="1" applyProtection="1">
      <alignment horizontal="right" vertical="center" shrinkToFit="1"/>
    </xf>
    <xf numFmtId="179" fontId="7" fillId="0" borderId="117" xfId="4" applyNumberFormat="1" applyFont="1" applyBorder="1" applyAlignment="1" applyProtection="1">
      <alignment horizontal="right" vertical="center" shrinkToFit="1"/>
    </xf>
    <xf numFmtId="179" fontId="7" fillId="0" borderId="124" xfId="4" applyNumberFormat="1" applyFont="1" applyBorder="1" applyAlignment="1" applyProtection="1">
      <alignment horizontal="right" vertical="center" shrinkToFit="1"/>
    </xf>
    <xf numFmtId="179" fontId="7" fillId="0" borderId="0" xfId="4" applyNumberFormat="1" applyFont="1" applyBorder="1" applyAlignment="1" applyProtection="1">
      <alignment horizontal="right" vertical="center" shrinkToFit="1"/>
    </xf>
    <xf numFmtId="179" fontId="7" fillId="0" borderId="125" xfId="4" applyNumberFormat="1" applyFont="1" applyBorder="1" applyAlignment="1" applyProtection="1">
      <alignment horizontal="right" vertical="center" shrinkToFit="1"/>
    </xf>
    <xf numFmtId="179" fontId="7" fillId="0" borderId="118" xfId="4" applyNumberFormat="1" applyFont="1" applyBorder="1" applyAlignment="1" applyProtection="1">
      <alignment horizontal="right" vertical="center" shrinkToFit="1"/>
    </xf>
    <xf numFmtId="179" fontId="7" fillId="0" borderId="94" xfId="4" applyNumberFormat="1" applyFont="1" applyBorder="1" applyAlignment="1" applyProtection="1">
      <alignment horizontal="right" vertical="center" shrinkToFit="1"/>
    </xf>
    <xf numFmtId="179" fontId="7" fillId="0" borderId="119" xfId="4" applyNumberFormat="1" applyFont="1" applyBorder="1" applyAlignment="1" applyProtection="1">
      <alignment horizontal="right" vertical="center" shrinkToFit="1"/>
    </xf>
    <xf numFmtId="0" fontId="1" fillId="29" borderId="165" xfId="4" applyFont="1" applyFill="1" applyBorder="1" applyAlignment="1" applyProtection="1">
      <alignment horizontal="center" vertical="center"/>
    </xf>
    <xf numFmtId="0" fontId="1" fillId="11" borderId="85" xfId="4" applyFont="1" applyFill="1" applyBorder="1" applyAlignment="1" applyProtection="1">
      <alignment horizontal="center" vertical="center"/>
    </xf>
    <xf numFmtId="0" fontId="1" fillId="11" borderId="0" xfId="4" applyFont="1" applyFill="1" applyBorder="1" applyAlignment="1" applyProtection="1">
      <alignment horizontal="center" vertical="center"/>
    </xf>
    <xf numFmtId="0" fontId="1" fillId="11" borderId="94" xfId="4" applyFont="1" applyFill="1" applyBorder="1" applyAlignment="1" applyProtection="1">
      <alignment horizontal="center" vertical="center"/>
    </xf>
    <xf numFmtId="179" fontId="7" fillId="0" borderId="104" xfId="4" applyNumberFormat="1" applyFont="1" applyBorder="1" applyAlignment="1" applyProtection="1">
      <alignment vertical="center" shrinkToFit="1"/>
    </xf>
    <xf numFmtId="179" fontId="7" fillId="0" borderId="142" xfId="4" applyNumberFormat="1" applyFont="1" applyBorder="1" applyAlignment="1" applyProtection="1">
      <alignment vertical="center" shrinkToFit="1"/>
    </xf>
    <xf numFmtId="179" fontId="7" fillId="0" borderId="165" xfId="4" applyNumberFormat="1" applyFont="1" applyBorder="1" applyAlignment="1" applyProtection="1">
      <alignment vertical="center" shrinkToFit="1"/>
    </xf>
    <xf numFmtId="179" fontId="7" fillId="0" borderId="167" xfId="4" applyNumberFormat="1" applyFont="1" applyBorder="1" applyAlignment="1" applyProtection="1">
      <alignment vertical="center" shrinkToFit="1"/>
    </xf>
    <xf numFmtId="0" fontId="1" fillId="20" borderId="92" xfId="4" applyFont="1" applyFill="1" applyBorder="1" applyAlignment="1" applyProtection="1">
      <alignment horizontal="center" vertical="top"/>
    </xf>
    <xf numFmtId="0" fontId="1" fillId="20" borderId="82" xfId="4" applyFont="1" applyFill="1" applyBorder="1" applyAlignment="1" applyProtection="1">
      <alignment horizontal="center" vertical="top"/>
    </xf>
    <xf numFmtId="0" fontId="1" fillId="20" borderId="80" xfId="4" applyFont="1" applyFill="1" applyBorder="1" applyAlignment="1" applyProtection="1">
      <alignment horizontal="center" vertical="top"/>
    </xf>
    <xf numFmtId="0" fontId="1" fillId="20" borderId="81" xfId="4" applyFont="1" applyFill="1" applyBorder="1" applyAlignment="1" applyProtection="1">
      <alignment horizontal="center" vertical="top"/>
    </xf>
    <xf numFmtId="0" fontId="1" fillId="20" borderId="93" xfId="4" applyFont="1" applyFill="1" applyBorder="1" applyAlignment="1" applyProtection="1">
      <alignment horizontal="center" vertical="top"/>
    </xf>
    <xf numFmtId="0" fontId="1" fillId="0" borderId="156" xfId="4" applyFont="1" applyFill="1" applyBorder="1" applyAlignment="1" applyProtection="1">
      <alignment horizontal="center" vertical="center" shrinkToFit="1"/>
    </xf>
    <xf numFmtId="0" fontId="25" fillId="11" borderId="157" xfId="4" applyFont="1" applyFill="1" applyBorder="1" applyAlignment="1" applyProtection="1">
      <alignment horizontal="center" vertical="center" wrapText="1"/>
    </xf>
    <xf numFmtId="0" fontId="25" fillId="11" borderId="158" xfId="4" applyFont="1" applyFill="1" applyBorder="1" applyAlignment="1" applyProtection="1">
      <alignment horizontal="center" vertical="center" wrapText="1"/>
    </xf>
    <xf numFmtId="0" fontId="25" fillId="11" borderId="159" xfId="4" applyFont="1" applyFill="1" applyBorder="1" applyAlignment="1" applyProtection="1">
      <alignment horizontal="center" vertical="center" wrapText="1"/>
    </xf>
    <xf numFmtId="0" fontId="25" fillId="11" borderId="160" xfId="4" applyFont="1" applyFill="1" applyBorder="1" applyAlignment="1" applyProtection="1">
      <alignment horizontal="center" vertical="center" wrapText="1"/>
    </xf>
    <xf numFmtId="0" fontId="15" fillId="12" borderId="73" xfId="0" applyFont="1" applyFill="1" applyBorder="1" applyAlignment="1" applyProtection="1">
      <alignment horizontal="center"/>
    </xf>
    <xf numFmtId="0" fontId="15" fillId="12" borderId="74" xfId="0" applyFont="1" applyFill="1" applyBorder="1" applyAlignment="1" applyProtection="1">
      <alignment horizontal="center"/>
    </xf>
    <xf numFmtId="176" fontId="17" fillId="14" borderId="74" xfId="0" applyNumberFormat="1" applyFont="1" applyFill="1" applyBorder="1" applyAlignment="1" applyProtection="1">
      <alignment horizontal="center" vertical="center"/>
    </xf>
    <xf numFmtId="176" fontId="17" fillId="15" borderId="74" xfId="0" applyNumberFormat="1" applyFont="1" applyFill="1" applyBorder="1" applyAlignment="1" applyProtection="1">
      <alignment horizontal="center" vertical="center"/>
    </xf>
    <xf numFmtId="176" fontId="17" fillId="16" borderId="74" xfId="0" applyNumberFormat="1" applyFont="1" applyFill="1" applyBorder="1" applyAlignment="1" applyProtection="1">
      <alignment horizontal="center" vertical="center"/>
    </xf>
    <xf numFmtId="176" fontId="17" fillId="16" borderId="77" xfId="0" applyNumberFormat="1" applyFont="1" applyFill="1" applyBorder="1" applyAlignment="1" applyProtection="1">
      <alignment horizontal="center" vertical="center"/>
    </xf>
    <xf numFmtId="176" fontId="4" fillId="12" borderId="78" xfId="0" applyNumberFormat="1" applyFont="1" applyFill="1" applyBorder="1" applyAlignment="1" applyProtection="1">
      <alignment horizontal="center" vertical="center"/>
    </xf>
    <xf numFmtId="176" fontId="4" fillId="12" borderId="79" xfId="0" applyNumberFormat="1" applyFont="1" applyFill="1" applyBorder="1" applyAlignment="1" applyProtection="1">
      <alignment horizontal="center" vertical="center"/>
    </xf>
    <xf numFmtId="191" fontId="4" fillId="0" borderId="79" xfId="0" applyNumberFormat="1" applyFont="1" applyFill="1" applyBorder="1" applyAlignment="1" applyProtection="1">
      <alignment vertical="center"/>
      <protection locked="0"/>
    </xf>
    <xf numFmtId="191" fontId="4" fillId="0" borderId="83" xfId="0" applyNumberFormat="1" applyFont="1" applyFill="1" applyBorder="1" applyAlignment="1" applyProtection="1">
      <alignment vertical="center"/>
      <protection locked="0"/>
    </xf>
    <xf numFmtId="191" fontId="4" fillId="0" borderId="80" xfId="0" applyNumberFormat="1" applyFont="1" applyFill="1" applyBorder="1" applyAlignment="1" applyProtection="1">
      <alignment vertical="center"/>
      <protection locked="0"/>
    </xf>
    <xf numFmtId="191" fontId="4" fillId="0" borderId="81" xfId="0" applyNumberFormat="1" applyFont="1" applyFill="1" applyBorder="1" applyAlignment="1" applyProtection="1">
      <alignment vertical="center"/>
      <protection locked="0"/>
    </xf>
    <xf numFmtId="191" fontId="4" fillId="0" borderId="82" xfId="0" applyNumberFormat="1" applyFont="1" applyFill="1" applyBorder="1" applyAlignment="1" applyProtection="1">
      <alignment vertical="center"/>
      <protection locked="0"/>
    </xf>
    <xf numFmtId="191" fontId="4" fillId="0" borderId="155" xfId="0" applyNumberFormat="1" applyFont="1" applyFill="1" applyBorder="1" applyAlignment="1" applyProtection="1">
      <alignment vertical="center"/>
      <protection locked="0"/>
    </xf>
    <xf numFmtId="176" fontId="4" fillId="0" borderId="80" xfId="0" applyNumberFormat="1" applyFont="1" applyFill="1" applyBorder="1" applyAlignment="1" applyProtection="1">
      <alignment horizontal="center" vertical="center"/>
      <protection locked="0"/>
    </xf>
    <xf numFmtId="176" fontId="4" fillId="0" borderId="81" xfId="0" applyNumberFormat="1" applyFont="1" applyFill="1" applyBorder="1" applyAlignment="1" applyProtection="1">
      <alignment horizontal="center" vertical="center"/>
      <protection locked="0"/>
    </xf>
    <xf numFmtId="176" fontId="4" fillId="12" borderId="87" xfId="0" applyNumberFormat="1" applyFont="1" applyFill="1" applyBorder="1" applyAlignment="1" applyProtection="1">
      <alignment horizontal="center" vertical="center"/>
    </xf>
    <xf numFmtId="176" fontId="4" fillId="12" borderId="88" xfId="0" applyNumberFormat="1" applyFont="1" applyFill="1" applyBorder="1" applyAlignment="1" applyProtection="1">
      <alignment horizontal="center" vertical="center"/>
    </xf>
    <xf numFmtId="191" fontId="4" fillId="0" borderId="88" xfId="0" applyNumberFormat="1" applyFont="1" applyFill="1" applyBorder="1" applyAlignment="1" applyProtection="1">
      <alignment vertical="center"/>
      <protection locked="0"/>
    </xf>
    <xf numFmtId="191" fontId="4" fillId="0" borderId="89" xfId="0" applyNumberFormat="1" applyFont="1" applyFill="1" applyBorder="1" applyAlignment="1" applyProtection="1">
      <alignment vertical="center"/>
      <protection locked="0"/>
    </xf>
    <xf numFmtId="176" fontId="4" fillId="0" borderId="82" xfId="0" applyNumberFormat="1" applyFont="1" applyFill="1" applyBorder="1" applyAlignment="1" applyProtection="1">
      <alignment horizontal="center" vertical="center"/>
      <protection locked="0"/>
    </xf>
    <xf numFmtId="176" fontId="4" fillId="0" borderId="161" xfId="0" applyNumberFormat="1" applyFont="1" applyFill="1" applyBorder="1" applyAlignment="1" applyProtection="1">
      <alignment horizontal="center" vertical="center"/>
      <protection locked="0"/>
    </xf>
    <xf numFmtId="176" fontId="4" fillId="0" borderId="162" xfId="0" applyNumberFormat="1" applyFont="1" applyFill="1" applyBorder="1" applyAlignment="1" applyProtection="1">
      <alignment horizontal="center" vertical="center"/>
      <protection locked="0"/>
    </xf>
    <xf numFmtId="176" fontId="4" fillId="0" borderId="163" xfId="0" applyNumberFormat="1" applyFont="1" applyFill="1" applyBorder="1" applyAlignment="1" applyProtection="1">
      <alignment horizontal="center" vertical="center"/>
      <protection locked="0"/>
    </xf>
    <xf numFmtId="0" fontId="1" fillId="11" borderId="101" xfId="4" applyFont="1" applyFill="1" applyBorder="1" applyAlignment="1" applyProtection="1">
      <alignment horizontal="center" vertical="center"/>
    </xf>
    <xf numFmtId="0" fontId="1" fillId="11" borderId="110" xfId="4" applyFont="1" applyFill="1" applyBorder="1" applyAlignment="1" applyProtection="1">
      <alignment horizontal="center" vertical="center"/>
    </xf>
    <xf numFmtId="0" fontId="5" fillId="17" borderId="0" xfId="4" applyFont="1" applyFill="1" applyBorder="1" applyAlignment="1" applyProtection="1">
      <alignment vertical="center" shrinkToFit="1"/>
    </xf>
    <xf numFmtId="0" fontId="1" fillId="18" borderId="90" xfId="4" applyFont="1" applyFill="1" applyBorder="1" applyAlignment="1" applyProtection="1">
      <alignment horizontal="center" vertical="center"/>
    </xf>
    <xf numFmtId="0" fontId="1" fillId="18" borderId="82" xfId="4" applyFont="1" applyFill="1" applyBorder="1" applyAlignment="1" applyProtection="1">
      <alignment horizontal="center" vertical="center"/>
    </xf>
    <xf numFmtId="0" fontId="1" fillId="18" borderId="81" xfId="4" applyFont="1" applyFill="1" applyBorder="1" applyAlignment="1" applyProtection="1">
      <alignment horizontal="center" vertical="center"/>
    </xf>
    <xf numFmtId="0" fontId="1" fillId="18" borderId="91" xfId="4" applyFont="1" applyFill="1" applyBorder="1" applyAlignment="1" applyProtection="1">
      <alignment horizontal="center" vertical="center"/>
    </xf>
    <xf numFmtId="192" fontId="1" fillId="0" borderId="92" xfId="4" applyNumberFormat="1" applyFont="1" applyFill="1" applyBorder="1" applyAlignment="1" applyProtection="1">
      <alignment horizontal="center" vertical="center"/>
    </xf>
    <xf numFmtId="192" fontId="1" fillId="0" borderId="81" xfId="4" applyNumberFormat="1" applyFont="1" applyFill="1" applyBorder="1" applyAlignment="1" applyProtection="1">
      <alignment horizontal="center" vertical="center"/>
    </xf>
    <xf numFmtId="192" fontId="1" fillId="0" borderId="93" xfId="4" applyNumberFormat="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horizontal="center"/>
    </xf>
    <xf numFmtId="0" fontId="5" fillId="0" borderId="0" xfId="4" applyFont="1" applyAlignment="1" applyProtection="1">
      <alignment horizontal="left"/>
    </xf>
    <xf numFmtId="0" fontId="5" fillId="0" borderId="94" xfId="4" applyFont="1" applyBorder="1" applyAlignment="1" applyProtection="1">
      <alignment horizontal="left"/>
    </xf>
    <xf numFmtId="0" fontId="5" fillId="0" borderId="0" xfId="4" applyFont="1" applyBorder="1" applyAlignment="1" applyProtection="1">
      <alignment horizontal="left"/>
    </xf>
    <xf numFmtId="0" fontId="1" fillId="11" borderId="96" xfId="4" applyFont="1" applyFill="1" applyBorder="1" applyAlignment="1" applyProtection="1">
      <alignment horizontal="center" vertical="center"/>
    </xf>
    <xf numFmtId="0" fontId="1" fillId="11" borderId="97" xfId="4" applyFont="1" applyFill="1" applyBorder="1" applyAlignment="1" applyProtection="1">
      <alignment horizontal="center" vertical="center"/>
    </xf>
    <xf numFmtId="0" fontId="1" fillId="11" borderId="104" xfId="4" applyFont="1" applyFill="1" applyBorder="1" applyAlignment="1" applyProtection="1">
      <alignment horizontal="center" vertical="center"/>
    </xf>
    <xf numFmtId="0" fontId="1" fillId="11" borderId="105" xfId="4" applyFont="1" applyFill="1" applyBorder="1" applyAlignment="1" applyProtection="1">
      <alignment horizontal="center" vertical="center"/>
    </xf>
    <xf numFmtId="0" fontId="1" fillId="11" borderId="84" xfId="4" applyFont="1" applyFill="1" applyBorder="1" applyAlignment="1" applyProtection="1">
      <alignment horizontal="center" vertical="center"/>
    </xf>
    <xf numFmtId="0" fontId="1" fillId="11" borderId="106" xfId="4" applyFont="1" applyFill="1" applyBorder="1" applyAlignment="1" applyProtection="1">
      <alignment horizontal="center" vertical="center"/>
    </xf>
    <xf numFmtId="0" fontId="1" fillId="11" borderId="84" xfId="4" applyFont="1" applyFill="1" applyBorder="1" applyAlignment="1" applyProtection="1">
      <alignment horizontal="center" wrapText="1"/>
    </xf>
    <xf numFmtId="0" fontId="1" fillId="11" borderId="86" xfId="4" applyFont="1" applyFill="1" applyBorder="1" applyAlignment="1" applyProtection="1">
      <alignment horizontal="center" wrapText="1"/>
    </xf>
    <xf numFmtId="0" fontId="1" fillId="11" borderId="106" xfId="4" applyFont="1" applyFill="1" applyBorder="1" applyAlignment="1" applyProtection="1">
      <alignment horizontal="center" vertical="top" wrapText="1"/>
    </xf>
    <xf numFmtId="0" fontId="1" fillId="11" borderId="103" xfId="4" applyFont="1" applyFill="1" applyBorder="1" applyAlignment="1" applyProtection="1">
      <alignment horizontal="center" vertical="top" wrapText="1"/>
    </xf>
    <xf numFmtId="0" fontId="1" fillId="11" borderId="107" xfId="4" applyFont="1" applyFill="1" applyBorder="1" applyAlignment="1" applyProtection="1">
      <alignment horizontal="center" vertical="top" wrapText="1"/>
    </xf>
    <xf numFmtId="0" fontId="19" fillId="11" borderId="109" xfId="4" applyFont="1" applyFill="1" applyBorder="1" applyAlignment="1" applyProtection="1">
      <alignment horizontal="center" vertical="top" wrapText="1"/>
    </xf>
    <xf numFmtId="0" fontId="19" fillId="11" borderId="110" xfId="4" applyFont="1" applyFill="1" applyBorder="1" applyAlignment="1" applyProtection="1">
      <alignment horizontal="center" vertical="top" wrapText="1"/>
    </xf>
    <xf numFmtId="0" fontId="1" fillId="11" borderId="98" xfId="4" applyFont="1" applyFill="1" applyBorder="1" applyAlignment="1" applyProtection="1">
      <alignment horizontal="center" vertical="center"/>
    </xf>
    <xf numFmtId="0" fontId="1" fillId="11" borderId="107" xfId="4" applyFont="1" applyFill="1" applyBorder="1" applyAlignment="1" applyProtection="1">
      <alignment horizontal="center" vertical="center"/>
    </xf>
    <xf numFmtId="0" fontId="1" fillId="11" borderId="99" xfId="4" applyFont="1" applyFill="1" applyBorder="1" applyAlignment="1" applyProtection="1">
      <alignment horizontal="center" vertical="center"/>
    </xf>
    <xf numFmtId="0" fontId="1" fillId="11" borderId="108" xfId="4" applyFont="1" applyFill="1" applyBorder="1" applyAlignment="1" applyProtection="1">
      <alignment horizontal="center" vertical="center"/>
    </xf>
    <xf numFmtId="0" fontId="7" fillId="11" borderId="100" xfId="4" applyFont="1" applyFill="1" applyBorder="1" applyAlignment="1" applyProtection="1">
      <alignment horizontal="center" wrapText="1"/>
    </xf>
    <xf numFmtId="0" fontId="7" fillId="11" borderId="101" xfId="4" applyFont="1" applyFill="1" applyBorder="1" applyAlignment="1" applyProtection="1">
      <alignment horizontal="center" wrapText="1"/>
    </xf>
    <xf numFmtId="0" fontId="1" fillId="11" borderId="111" xfId="4" applyFont="1" applyFill="1" applyBorder="1" applyAlignment="1" applyProtection="1">
      <alignment horizontal="center" vertical="center"/>
    </xf>
    <xf numFmtId="177" fontId="1" fillId="0" borderId="18" xfId="2" applyNumberFormat="1" applyFont="1" applyBorder="1" applyAlignment="1" applyProtection="1">
      <alignment horizontal="center" vertical="center"/>
    </xf>
    <xf numFmtId="194" fontId="7" fillId="0" borderId="18" xfId="2" applyNumberFormat="1" applyFont="1" applyBorder="1" applyAlignment="1" applyProtection="1">
      <alignment vertical="center" shrinkToFit="1"/>
    </xf>
    <xf numFmtId="0" fontId="1" fillId="11" borderId="98" xfId="4" applyFont="1" applyFill="1" applyBorder="1" applyAlignment="1" applyProtection="1">
      <alignment horizontal="center" wrapText="1"/>
    </xf>
    <xf numFmtId="194" fontId="7" fillId="0" borderId="134" xfId="2" applyNumberFormat="1" applyFont="1" applyBorder="1" applyAlignment="1" applyProtection="1">
      <alignment vertical="center" shrinkToFit="1"/>
    </xf>
    <xf numFmtId="195" fontId="1" fillId="0" borderId="135" xfId="2" applyNumberFormat="1" applyFont="1" applyBorder="1" applyAlignment="1" applyProtection="1">
      <alignment horizontal="center" vertical="center" shrinkToFit="1"/>
    </xf>
    <xf numFmtId="195" fontId="1" fillId="0" borderId="2" xfId="2" applyNumberFormat="1" applyFont="1" applyBorder="1" applyAlignment="1" applyProtection="1">
      <alignment horizontal="center" vertical="center" shrinkToFit="1"/>
    </xf>
    <xf numFmtId="0" fontId="1" fillId="11" borderId="112" xfId="4" applyFont="1" applyFill="1" applyBorder="1" applyAlignment="1" applyProtection="1">
      <alignment horizontal="center" vertical="center"/>
    </xf>
    <xf numFmtId="0" fontId="1" fillId="11" borderId="113" xfId="4" applyFont="1" applyFill="1" applyBorder="1" applyAlignment="1" applyProtection="1">
      <alignment horizontal="center" vertical="center"/>
    </xf>
    <xf numFmtId="177" fontId="1" fillId="0" borderId="154" xfId="2" applyNumberFormat="1" applyFont="1" applyBorder="1" applyAlignment="1" applyProtection="1">
      <alignment horizontal="center" vertical="center"/>
    </xf>
    <xf numFmtId="177" fontId="1" fillId="0" borderId="59" xfId="2" applyNumberFormat="1" applyFont="1" applyBorder="1" applyAlignment="1" applyProtection="1">
      <alignment horizontal="center" vertical="center"/>
    </xf>
    <xf numFmtId="194" fontId="7" fillId="0" borderId="24" xfId="2" applyNumberFormat="1" applyFont="1" applyBorder="1" applyAlignment="1" applyProtection="1">
      <alignment vertical="center" shrinkToFit="1"/>
    </xf>
    <xf numFmtId="194" fontId="7" fillId="0" borderId="136" xfId="2" applyNumberFormat="1" applyFont="1" applyBorder="1" applyAlignment="1" applyProtection="1">
      <alignment vertical="center" shrinkToFit="1"/>
    </xf>
    <xf numFmtId="177" fontId="1" fillId="0" borderId="24" xfId="2" applyNumberFormat="1" applyFont="1" applyBorder="1" applyAlignment="1" applyProtection="1">
      <alignment horizontal="center" vertical="center"/>
    </xf>
    <xf numFmtId="0" fontId="1" fillId="11" borderId="115" xfId="4" applyFont="1" applyFill="1" applyBorder="1" applyAlignment="1" applyProtection="1">
      <alignment horizontal="center" vertical="center"/>
    </xf>
    <xf numFmtId="177" fontId="1" fillId="0" borderId="27" xfId="2" applyNumberFormat="1" applyFont="1" applyBorder="1" applyAlignment="1" applyProtection="1">
      <alignment horizontal="center" vertical="center"/>
    </xf>
    <xf numFmtId="194" fontId="7" fillId="0" borderId="27" xfId="2" applyNumberFormat="1" applyFont="1" applyBorder="1" applyAlignment="1" applyProtection="1">
      <alignment vertical="center" shrinkToFit="1"/>
    </xf>
    <xf numFmtId="194" fontId="7" fillId="0" borderId="137" xfId="2" applyNumberFormat="1" applyFont="1" applyBorder="1" applyAlignment="1" applyProtection="1">
      <alignment vertical="center" shrinkToFit="1"/>
    </xf>
    <xf numFmtId="0" fontId="5" fillId="0" borderId="0" xfId="4" applyFont="1" applyFill="1" applyAlignment="1" applyProtection="1">
      <alignment horizontal="center"/>
    </xf>
    <xf numFmtId="0" fontId="5" fillId="0" borderId="85" xfId="4" applyFont="1" applyBorder="1" applyAlignment="1" applyProtection="1">
      <alignment horizontal="left"/>
    </xf>
    <xf numFmtId="0" fontId="5" fillId="0" borderId="85" xfId="4" applyFont="1" applyBorder="1" applyAlignment="1" applyProtection="1">
      <alignment horizontal="right"/>
    </xf>
    <xf numFmtId="0" fontId="5" fillId="0" borderId="0" xfId="4" applyFont="1" applyAlignment="1" applyProtection="1">
      <alignment horizontal="right"/>
    </xf>
    <xf numFmtId="0" fontId="5" fillId="0" borderId="85" xfId="4" applyFont="1" applyBorder="1" applyAlignment="1" applyProtection="1"/>
    <xf numFmtId="0" fontId="5" fillId="0" borderId="94" xfId="4" applyFont="1" applyBorder="1" applyAlignment="1" applyProtection="1"/>
    <xf numFmtId="0" fontId="20" fillId="14" borderId="150" xfId="4" applyFont="1" applyFill="1" applyBorder="1" applyAlignment="1" applyProtection="1">
      <alignment horizontal="center" vertical="center"/>
    </xf>
    <xf numFmtId="0" fontId="20" fillId="14" borderId="145" xfId="4" applyFont="1" applyFill="1" applyBorder="1" applyAlignment="1" applyProtection="1">
      <alignment horizontal="center" vertical="center"/>
    </xf>
    <xf numFmtId="0" fontId="20" fillId="14" borderId="151" xfId="4" applyFont="1" applyFill="1" applyBorder="1" applyAlignment="1" applyProtection="1">
      <alignment horizontal="center" vertical="center"/>
    </xf>
    <xf numFmtId="0" fontId="20" fillId="14" borderId="152" xfId="4" applyFont="1" applyFill="1" applyBorder="1" applyAlignment="1" applyProtection="1">
      <alignment horizontal="center" vertical="center"/>
    </xf>
    <xf numFmtId="0" fontId="20" fillId="14" borderId="148" xfId="4" applyFont="1" applyFill="1" applyBorder="1" applyAlignment="1" applyProtection="1">
      <alignment horizontal="center" vertical="center"/>
    </xf>
    <xf numFmtId="0" fontId="20" fillId="14" borderId="153" xfId="4" applyFont="1" applyFill="1" applyBorder="1" applyAlignment="1" applyProtection="1">
      <alignment horizontal="center" vertical="center"/>
    </xf>
    <xf numFmtId="178" fontId="8" fillId="0" borderId="144" xfId="4" applyNumberFormat="1" applyFont="1" applyBorder="1" applyAlignment="1" applyProtection="1">
      <alignment horizontal="right" vertical="center" shrinkToFit="1"/>
    </xf>
    <xf numFmtId="178" fontId="8" fillId="0" borderId="145" xfId="4" applyNumberFormat="1" applyFont="1" applyBorder="1" applyAlignment="1" applyProtection="1">
      <alignment horizontal="right" vertical="center" shrinkToFit="1"/>
    </xf>
    <xf numFmtId="178" fontId="8" fillId="0" borderId="146" xfId="4" applyNumberFormat="1" applyFont="1" applyBorder="1" applyAlignment="1" applyProtection="1">
      <alignment horizontal="right" vertical="center" shrinkToFit="1"/>
    </xf>
    <xf numFmtId="178" fontId="8" fillId="0" borderId="147" xfId="4" applyNumberFormat="1" applyFont="1" applyBorder="1" applyAlignment="1" applyProtection="1">
      <alignment horizontal="right" vertical="center" shrinkToFit="1"/>
    </xf>
    <xf numFmtId="178" fontId="8" fillId="0" borderId="148" xfId="4" applyNumberFormat="1" applyFont="1" applyBorder="1" applyAlignment="1" applyProtection="1">
      <alignment horizontal="right" vertical="center" shrinkToFit="1"/>
    </xf>
    <xf numFmtId="178" fontId="8" fillId="0" borderId="149" xfId="4" applyNumberFormat="1" applyFont="1" applyBorder="1" applyAlignment="1" applyProtection="1">
      <alignment horizontal="right" vertical="center" shrinkToFit="1"/>
    </xf>
    <xf numFmtId="0" fontId="5" fillId="14" borderId="150" xfId="4" applyFont="1" applyFill="1" applyBorder="1" applyAlignment="1" applyProtection="1">
      <alignment horizontal="center" vertical="center"/>
    </xf>
    <xf numFmtId="0" fontId="5" fillId="14" borderId="151" xfId="4" applyFont="1" applyFill="1" applyBorder="1" applyAlignment="1" applyProtection="1">
      <alignment horizontal="center" vertical="center"/>
    </xf>
    <xf numFmtId="0" fontId="5" fillId="14" borderId="152" xfId="4" applyFont="1" applyFill="1" applyBorder="1" applyAlignment="1" applyProtection="1">
      <alignment horizontal="center" vertical="center"/>
    </xf>
    <xf numFmtId="0" fontId="5" fillId="14" borderId="153" xfId="4" applyFont="1" applyFill="1" applyBorder="1" applyAlignment="1" applyProtection="1">
      <alignment horizontal="center" vertical="center"/>
    </xf>
    <xf numFmtId="191" fontId="8" fillId="0" borderId="144" xfId="4" applyNumberFormat="1" applyFont="1" applyBorder="1" applyAlignment="1" applyProtection="1">
      <alignment vertical="center"/>
    </xf>
    <xf numFmtId="191" fontId="8" fillId="0" borderId="145" xfId="4" applyNumberFormat="1" applyFont="1" applyBorder="1" applyAlignment="1" applyProtection="1">
      <alignment vertical="center"/>
    </xf>
    <xf numFmtId="191" fontId="8" fillId="0" borderId="146" xfId="4" applyNumberFormat="1" applyFont="1" applyBorder="1" applyAlignment="1" applyProtection="1">
      <alignment vertical="center"/>
    </xf>
    <xf numFmtId="191" fontId="8" fillId="0" borderId="147" xfId="4" applyNumberFormat="1" applyFont="1" applyBorder="1" applyAlignment="1" applyProtection="1">
      <alignment vertical="center"/>
    </xf>
    <xf numFmtId="191" fontId="8" fillId="0" borderId="148" xfId="4" applyNumberFormat="1" applyFont="1" applyBorder="1" applyAlignment="1" applyProtection="1">
      <alignment vertical="center"/>
    </xf>
    <xf numFmtId="191" fontId="8" fillId="0" borderId="149" xfId="4" applyNumberFormat="1" applyFont="1" applyBorder="1" applyAlignment="1" applyProtection="1">
      <alignment vertical="center"/>
    </xf>
    <xf numFmtId="0" fontId="1" fillId="0" borderId="157" xfId="4" applyFont="1" applyBorder="1" applyAlignment="1" applyProtection="1">
      <alignment horizontal="center" vertical="center"/>
    </xf>
    <xf numFmtId="0" fontId="1" fillId="0" borderId="158" xfId="4" applyFont="1" applyBorder="1" applyAlignment="1" applyProtection="1">
      <alignment horizontal="center" vertical="center"/>
    </xf>
    <xf numFmtId="179" fontId="7" fillId="0" borderId="157" xfId="4" applyNumberFormat="1" applyFont="1" applyBorder="1" applyAlignment="1" applyProtection="1">
      <alignment vertical="center" shrinkToFit="1"/>
    </xf>
    <xf numFmtId="179" fontId="7" fillId="0" borderId="166" xfId="4" applyNumberFormat="1" applyFont="1" applyBorder="1" applyAlignment="1" applyProtection="1">
      <alignment vertical="center" shrinkToFit="1"/>
    </xf>
    <xf numFmtId="0" fontId="1" fillId="11" borderId="116" xfId="4" applyFont="1" applyFill="1" applyBorder="1" applyAlignment="1" applyProtection="1">
      <alignment horizontal="center" vertical="center"/>
    </xf>
    <xf numFmtId="0" fontId="1" fillId="11" borderId="117" xfId="4" applyFont="1" applyFill="1" applyBorder="1" applyAlignment="1" applyProtection="1">
      <alignment horizontal="center" vertical="center"/>
    </xf>
    <xf numFmtId="0" fontId="1" fillId="11" borderId="118" xfId="4" applyFont="1" applyFill="1" applyBorder="1" applyAlignment="1" applyProtection="1">
      <alignment horizontal="center" vertical="center"/>
    </xf>
    <xf numFmtId="0" fontId="1" fillId="11" borderId="119" xfId="4" applyFont="1" applyFill="1" applyBorder="1" applyAlignment="1" applyProtection="1">
      <alignment horizontal="center" vertical="center"/>
    </xf>
    <xf numFmtId="0" fontId="1" fillId="0" borderId="96" xfId="4" applyFont="1" applyBorder="1" applyAlignment="1" applyProtection="1">
      <alignment horizontal="center" vertical="center"/>
    </xf>
    <xf numFmtId="0" fontId="1" fillId="0" borderId="97" xfId="4" applyFont="1" applyBorder="1" applyAlignment="1" applyProtection="1">
      <alignment horizontal="center" vertical="center"/>
    </xf>
    <xf numFmtId="179" fontId="7" fillId="0" borderId="96" xfId="4" applyNumberFormat="1" applyFont="1" applyBorder="1" applyAlignment="1" applyProtection="1">
      <alignment vertical="center" shrinkToFit="1"/>
    </xf>
    <xf numFmtId="179" fontId="7" fillId="0" borderId="141" xfId="4" applyNumberFormat="1" applyFont="1" applyBorder="1" applyAlignment="1" applyProtection="1">
      <alignment vertical="center" shrinkToFit="1"/>
    </xf>
    <xf numFmtId="0" fontId="1" fillId="0" borderId="114" xfId="4" applyFont="1" applyBorder="1" applyAlignment="1" applyProtection="1">
      <alignment horizontal="center" vertical="center"/>
    </xf>
    <xf numFmtId="0" fontId="1" fillId="0" borderId="113" xfId="4" applyFont="1" applyBorder="1" applyAlignment="1" applyProtection="1">
      <alignment horizontal="center" vertical="center"/>
    </xf>
    <xf numFmtId="179" fontId="7" fillId="0" borderId="114" xfId="4" applyNumberFormat="1" applyFont="1" applyBorder="1" applyAlignment="1" applyProtection="1">
      <alignment vertical="center" shrinkToFit="1"/>
    </xf>
    <xf numFmtId="179" fontId="7" fillId="0" borderId="140" xfId="4" applyNumberFormat="1" applyFont="1" applyBorder="1" applyAlignment="1" applyProtection="1">
      <alignment vertical="center" shrinkToFit="1"/>
    </xf>
    <xf numFmtId="180" fontId="1" fillId="11" borderId="112" xfId="4" applyNumberFormat="1" applyFont="1" applyFill="1" applyBorder="1" applyAlignment="1" applyProtection="1">
      <alignment horizontal="center" vertical="top"/>
    </xf>
    <xf numFmtId="180" fontId="1" fillId="11" borderId="113" xfId="4" applyNumberFormat="1" applyFont="1" applyFill="1" applyBorder="1" applyAlignment="1" applyProtection="1">
      <alignment horizontal="center" vertical="top"/>
    </xf>
    <xf numFmtId="179" fontId="1" fillId="0" borderId="114" xfId="5" applyNumberFormat="1" applyFont="1" applyBorder="1" applyAlignment="1" applyProtection="1">
      <alignment horizontal="right" vertical="top" indent="1" shrinkToFit="1"/>
    </xf>
    <xf numFmtId="179" fontId="1" fillId="0" borderId="123" xfId="5" applyNumberFormat="1" applyFont="1" applyBorder="1" applyAlignment="1" applyProtection="1">
      <alignment horizontal="right" vertical="top" indent="1" shrinkToFit="1"/>
    </xf>
    <xf numFmtId="179" fontId="1" fillId="0" borderId="139" xfId="5" applyNumberFormat="1" applyFont="1" applyBorder="1" applyAlignment="1" applyProtection="1">
      <alignment horizontal="right" vertical="top" indent="1" shrinkToFit="1"/>
    </xf>
    <xf numFmtId="0" fontId="1" fillId="0" borderId="156" xfId="4" applyFont="1" applyBorder="1" applyAlignment="1" applyProtection="1">
      <alignment horizontal="center" vertical="center"/>
    </xf>
    <xf numFmtId="179" fontId="7" fillId="0" borderId="156" xfId="4" applyNumberFormat="1" applyFont="1" applyBorder="1" applyAlignment="1" applyProtection="1">
      <alignment vertical="center" shrinkToFit="1"/>
    </xf>
    <xf numFmtId="179" fontId="7" fillId="0" borderId="169" xfId="4" applyNumberFormat="1" applyFont="1" applyBorder="1" applyAlignment="1" applyProtection="1">
      <alignment vertical="center" shrinkToFit="1"/>
    </xf>
    <xf numFmtId="180" fontId="1" fillId="11" borderId="111" xfId="4" applyNumberFormat="1" applyFont="1" applyFill="1" applyBorder="1" applyAlignment="1" applyProtection="1">
      <alignment horizontal="center" vertical="top"/>
    </xf>
    <xf numFmtId="180" fontId="1" fillId="11" borderId="97" xfId="4" applyNumberFormat="1" applyFont="1" applyFill="1" applyBorder="1" applyAlignment="1" applyProtection="1">
      <alignment horizontal="center" vertical="top"/>
    </xf>
    <xf numFmtId="179" fontId="1" fillId="0" borderId="96" xfId="5" applyNumberFormat="1" applyFont="1" applyBorder="1" applyAlignment="1" applyProtection="1">
      <alignment horizontal="right" vertical="top" indent="1" shrinkToFit="1"/>
    </xf>
    <xf numFmtId="179" fontId="1" fillId="0" borderId="120" xfId="5" applyNumberFormat="1" applyFont="1" applyBorder="1" applyAlignment="1" applyProtection="1">
      <alignment horizontal="right" vertical="top" indent="1" shrinkToFit="1"/>
    </xf>
    <xf numFmtId="179" fontId="1" fillId="0" borderId="143" xfId="5" applyNumberFormat="1" applyFont="1" applyBorder="1" applyAlignment="1" applyProtection="1">
      <alignment horizontal="right" vertical="top" indent="1" shrinkToFit="1"/>
    </xf>
    <xf numFmtId="179" fontId="1" fillId="0" borderId="104" xfId="5" applyNumberFormat="1" applyFont="1" applyBorder="1" applyAlignment="1" applyProtection="1">
      <alignment horizontal="right" vertical="top" indent="1" shrinkToFit="1"/>
    </xf>
    <xf numFmtId="179" fontId="1" fillId="0" borderId="126" xfId="5" applyNumberFormat="1" applyFont="1" applyBorder="1" applyAlignment="1" applyProtection="1">
      <alignment horizontal="right" vertical="top" indent="1" shrinkToFit="1"/>
    </xf>
    <xf numFmtId="179" fontId="1" fillId="0" borderId="138" xfId="5" applyNumberFormat="1" applyFont="1" applyBorder="1" applyAlignment="1" applyProtection="1">
      <alignment horizontal="right" vertical="top" indent="1" shrinkToFit="1"/>
    </xf>
    <xf numFmtId="180" fontId="1" fillId="11" borderId="115" xfId="4" applyNumberFormat="1" applyFont="1" applyFill="1" applyBorder="1" applyAlignment="1" applyProtection="1">
      <alignment horizontal="center" vertical="top"/>
    </xf>
    <xf numFmtId="180" fontId="1" fillId="11" borderId="105" xfId="4" applyNumberFormat="1" applyFont="1" applyFill="1" applyBorder="1" applyAlignment="1" applyProtection="1">
      <alignment horizontal="center" vertical="top"/>
    </xf>
    <xf numFmtId="182" fontId="1" fillId="11" borderId="111" xfId="4" applyNumberFormat="1" applyFont="1" applyFill="1" applyBorder="1" applyAlignment="1" applyProtection="1">
      <alignment horizontal="center" vertical="top"/>
    </xf>
    <xf numFmtId="182" fontId="1" fillId="11" borderId="97" xfId="4" applyNumberFormat="1" applyFont="1" applyFill="1" applyBorder="1" applyAlignment="1" applyProtection="1">
      <alignment horizontal="center" vertical="top"/>
    </xf>
    <xf numFmtId="0" fontId="1" fillId="0" borderId="0" xfId="4" applyFont="1" applyBorder="1" applyAlignment="1" applyProtection="1">
      <alignment horizontal="right" vertical="center"/>
    </xf>
    <xf numFmtId="176" fontId="17" fillId="13" borderId="75" xfId="0" applyNumberFormat="1" applyFont="1" applyFill="1" applyBorder="1" applyAlignment="1" applyProtection="1">
      <alignment horizontal="center" vertical="center"/>
    </xf>
    <xf numFmtId="176" fontId="17" fillId="13" borderId="76" xfId="0" applyNumberFormat="1" applyFont="1" applyFill="1" applyBorder="1" applyAlignment="1" applyProtection="1">
      <alignment horizontal="center" vertical="center"/>
    </xf>
    <xf numFmtId="182" fontId="1" fillId="11" borderId="112" xfId="4" applyNumberFormat="1" applyFont="1" applyFill="1" applyBorder="1" applyAlignment="1" applyProtection="1">
      <alignment horizontal="center" vertical="top"/>
    </xf>
    <xf numFmtId="182" fontId="1" fillId="11" borderId="113" xfId="4" applyNumberFormat="1" applyFont="1" applyFill="1" applyBorder="1" applyAlignment="1" applyProtection="1">
      <alignment horizontal="center" vertical="top"/>
    </xf>
    <xf numFmtId="182" fontId="1" fillId="11" borderId="115" xfId="4" applyNumberFormat="1" applyFont="1" applyFill="1" applyBorder="1" applyAlignment="1" applyProtection="1">
      <alignment horizontal="center" vertical="top"/>
    </xf>
    <xf numFmtId="182" fontId="1" fillId="11" borderId="105" xfId="4" applyNumberFormat="1" applyFont="1" applyFill="1" applyBorder="1" applyAlignment="1" applyProtection="1">
      <alignment horizontal="center" vertical="top"/>
    </xf>
    <xf numFmtId="186" fontId="24" fillId="5" borderId="21" xfId="2" applyNumberFormat="1" applyFont="1" applyFill="1" applyBorder="1" applyAlignment="1" applyProtection="1">
      <alignment horizontal="center" vertical="center"/>
    </xf>
    <xf numFmtId="0" fontId="3" fillId="5" borderId="26" xfId="2" applyFont="1" applyFill="1" applyBorder="1" applyAlignment="1" applyProtection="1">
      <alignment horizontal="center" vertical="center"/>
    </xf>
    <xf numFmtId="183" fontId="0" fillId="5" borderId="28" xfId="1" applyNumberFormat="1" applyFont="1" applyFill="1" applyBorder="1" applyAlignment="1" applyProtection="1">
      <alignment horizontal="center" vertical="center"/>
    </xf>
    <xf numFmtId="0" fontId="3" fillId="2" borderId="26" xfId="2" applyFont="1" applyFill="1" applyBorder="1" applyAlignment="1" applyProtection="1">
      <alignment horizontal="center" vertical="center"/>
    </xf>
    <xf numFmtId="183" fontId="0" fillId="2" borderId="28" xfId="1" applyNumberFormat="1" applyFont="1" applyFill="1" applyBorder="1" applyAlignment="1" applyProtection="1">
      <alignment horizontal="center" vertical="center"/>
    </xf>
    <xf numFmtId="0" fontId="3" fillId="7" borderId="71" xfId="2" applyFont="1" applyFill="1" applyBorder="1" applyAlignment="1" applyProtection="1">
      <alignment horizontal="left" vertical="center" indent="2"/>
    </xf>
    <xf numFmtId="0" fontId="3" fillId="0" borderId="72" xfId="2" applyFont="1" applyBorder="1" applyAlignment="1" applyProtection="1">
      <alignment horizontal="center" vertical="center"/>
    </xf>
    <xf numFmtId="0" fontId="3" fillId="0" borderId="68" xfId="2" applyFont="1" applyBorder="1" applyAlignment="1" applyProtection="1">
      <alignment horizontal="center" vertical="center"/>
    </xf>
    <xf numFmtId="183" fontId="0" fillId="0" borderId="25" xfId="1" applyNumberFormat="1" applyFont="1" applyBorder="1" applyAlignment="1" applyProtection="1">
      <alignment horizontal="center" vertical="center"/>
    </xf>
    <xf numFmtId="0" fontId="3" fillId="0" borderId="23" xfId="2" applyFont="1" applyBorder="1" applyAlignment="1" applyProtection="1">
      <alignment horizontal="center" vertical="center"/>
    </xf>
    <xf numFmtId="0" fontId="3" fillId="2" borderId="1" xfId="2" applyFont="1" applyFill="1" applyBorder="1" applyAlignment="1" applyProtection="1">
      <alignment horizontal="center" vertical="center"/>
    </xf>
    <xf numFmtId="0" fontId="3" fillId="6" borderId="17" xfId="2" applyFont="1" applyFill="1" applyBorder="1" applyAlignment="1" applyProtection="1">
      <alignment horizontal="left" vertical="center" indent="2"/>
    </xf>
    <xf numFmtId="0" fontId="3" fillId="6" borderId="18" xfId="2" applyFont="1" applyFill="1" applyBorder="1" applyAlignment="1" applyProtection="1">
      <alignment horizontal="left" vertical="center" indent="2"/>
    </xf>
    <xf numFmtId="0" fontId="3" fillId="6" borderId="49" xfId="2" applyFont="1" applyFill="1" applyBorder="1" applyAlignment="1" applyProtection="1">
      <alignment horizontal="left" vertical="center" indent="2"/>
    </xf>
    <xf numFmtId="0" fontId="3" fillId="6" borderId="62" xfId="2" applyFont="1" applyFill="1" applyBorder="1" applyAlignment="1" applyProtection="1">
      <alignment horizontal="left" vertical="center" indent="2"/>
    </xf>
    <xf numFmtId="0" fontId="0" fillId="26" borderId="0" xfId="0" applyFill="1" applyAlignment="1">
      <alignment horizontal="left" vertical="center" wrapText="1"/>
    </xf>
    <xf numFmtId="183" fontId="0" fillId="0" borderId="39" xfId="1" applyNumberFormat="1" applyFont="1" applyBorder="1" applyAlignment="1" applyProtection="1">
      <alignment horizontal="center" vertical="center"/>
    </xf>
    <xf numFmtId="0" fontId="3" fillId="2" borderId="2" xfId="2" applyFont="1" applyFill="1" applyBorder="1" applyAlignment="1" applyProtection="1">
      <alignment horizontal="center" vertical="center"/>
    </xf>
    <xf numFmtId="183" fontId="3" fillId="2" borderId="7" xfId="1" applyNumberFormat="1" applyFont="1" applyFill="1" applyBorder="1" applyAlignment="1" applyProtection="1">
      <alignment horizontal="center" vertical="center"/>
    </xf>
    <xf numFmtId="183" fontId="0" fillId="0" borderId="70" xfId="1" applyNumberFormat="1" applyFont="1" applyBorder="1" applyAlignment="1" applyProtection="1">
      <alignment horizontal="center" vertical="center"/>
    </xf>
    <xf numFmtId="0" fontId="9" fillId="0" borderId="15" xfId="2" applyFont="1" applyBorder="1" applyAlignment="1" applyProtection="1">
      <alignment horizontal="center" vertical="center"/>
    </xf>
    <xf numFmtId="186" fontId="3" fillId="2" borderId="69" xfId="2" applyNumberFormat="1" applyFont="1" applyFill="1" applyBorder="1" applyAlignment="1" applyProtection="1">
      <alignment horizontal="center" vertical="center"/>
    </xf>
    <xf numFmtId="183" fontId="3" fillId="2" borderId="2" xfId="1" applyNumberFormat="1" applyFont="1" applyFill="1" applyBorder="1" applyAlignment="1" applyProtection="1">
      <alignment horizontal="center" vertical="center"/>
    </xf>
    <xf numFmtId="0" fontId="13" fillId="2" borderId="2" xfId="2" applyFont="1" applyFill="1" applyBorder="1" applyAlignment="1" applyProtection="1">
      <alignment horizontal="center" vertical="center" wrapText="1"/>
    </xf>
    <xf numFmtId="0" fontId="6" fillId="2" borderId="2" xfId="2" applyFont="1" applyFill="1" applyBorder="1" applyAlignment="1" applyProtection="1">
      <alignment horizontal="center" vertical="center" wrapText="1"/>
    </xf>
    <xf numFmtId="0" fontId="13" fillId="2" borderId="11" xfId="2" applyFont="1" applyFill="1" applyBorder="1" applyAlignment="1" applyProtection="1">
      <alignment horizontal="center" vertical="center" wrapText="1"/>
    </xf>
    <xf numFmtId="0" fontId="6" fillId="2" borderId="11" xfId="2" applyFont="1" applyFill="1" applyBorder="1" applyAlignment="1" applyProtection="1">
      <alignment horizontal="center" vertical="center" wrapText="1"/>
    </xf>
    <xf numFmtId="0" fontId="9" fillId="9" borderId="0" xfId="2" applyFont="1" applyFill="1" applyBorder="1" applyAlignment="1" applyProtection="1">
      <alignment horizontal="center" vertical="center"/>
    </xf>
    <xf numFmtId="186" fontId="24" fillId="5" borderId="32" xfId="2" applyNumberFormat="1" applyFont="1" applyFill="1" applyBorder="1" applyAlignment="1" applyProtection="1">
      <alignment horizontal="center" vertical="center"/>
    </xf>
    <xf numFmtId="0" fontId="9" fillId="0" borderId="0" xfId="2" applyFont="1" applyBorder="1" applyAlignment="1" applyProtection="1">
      <alignment horizontal="center" vertical="center"/>
    </xf>
    <xf numFmtId="181" fontId="3" fillId="2" borderId="2" xfId="1" applyFont="1" applyFill="1" applyBorder="1" applyAlignment="1" applyProtection="1">
      <alignment horizontal="center" vertical="center"/>
    </xf>
  </cellXfs>
  <cellStyles count="11">
    <cellStyle name="Excel Built-in Comma [0]" xfId="1" xr:uid="{00000000-0005-0000-0000-000000000000}"/>
    <cellStyle name="Excel Built-in Comma [0] 2" xfId="7" xr:uid="{00000000-0005-0000-0000-000001000000}"/>
    <cellStyle name="Excel Built-in Explanatory Text" xfId="2" xr:uid="{00000000-0005-0000-0000-000002000000}"/>
    <cellStyle name="Excel Built-in Explanatory Text 2" xfId="8" xr:uid="{00000000-0005-0000-0000-000003000000}"/>
    <cellStyle name="桁区切り [0.00]" xfId="3" builtinId="3"/>
    <cellStyle name="桁区切り [0.00] 2" xfId="9" xr:uid="{00000000-0005-0000-0000-000005000000}"/>
    <cellStyle name="桁区切り 2" xfId="5" xr:uid="{00000000-0005-0000-0000-000006000000}"/>
    <cellStyle name="桁区切り 3" xfId="10" xr:uid="{00000000-0005-0000-0000-000007000000}"/>
    <cellStyle name="標準" xfId="0" builtinId="0"/>
    <cellStyle name="標準 2" xfId="6" xr:uid="{00000000-0005-0000-0000-000009000000}"/>
    <cellStyle name="標準_kokuhozei_shisan" xfId="4" xr:uid="{00000000-0005-0000-0000-00000A000000}"/>
  </cellStyles>
  <dxfs count="10">
    <dxf>
      <fill>
        <patternFill>
          <bgColor rgb="FFFF0066"/>
        </patternFill>
      </fill>
    </dxf>
    <dxf>
      <fill>
        <patternFill>
          <bgColor rgb="FF99FFCC"/>
        </patternFill>
      </fill>
    </dxf>
    <dxf>
      <fill>
        <patternFill>
          <bgColor rgb="FFFF0066"/>
        </patternFill>
      </fill>
    </dxf>
    <dxf>
      <fill>
        <patternFill>
          <bgColor rgb="FF99FFCC"/>
        </patternFill>
      </fill>
    </dxf>
    <dxf>
      <fill>
        <patternFill>
          <bgColor rgb="FFFF0066"/>
        </patternFill>
      </fill>
    </dxf>
    <dxf>
      <fill>
        <patternFill>
          <bgColor rgb="FF99FFCC"/>
        </patternFill>
      </fill>
    </dxf>
    <dxf>
      <fill>
        <patternFill>
          <bgColor rgb="FFFF0066"/>
        </patternFill>
      </fill>
    </dxf>
    <dxf>
      <fill>
        <patternFill>
          <bgColor rgb="FF99FFCC"/>
        </patternFill>
      </fill>
    </dxf>
    <dxf>
      <fill>
        <patternFill>
          <bgColor rgb="FFFF0066"/>
        </patternFill>
      </fill>
    </dxf>
    <dxf>
      <fill>
        <patternFill>
          <bgColor rgb="FF99FFCC"/>
        </patternFill>
      </fill>
    </dxf>
  </dxfs>
  <tableStyles count="0" defaultTableStyle="TableStyleMedium2" defaultPivotStyle="PivotStyleLight16"/>
  <colors>
    <mruColors>
      <color rgb="FFFF99FF"/>
      <color rgb="FFFFCCFF"/>
      <color rgb="FF800000"/>
      <color rgb="FF006600"/>
      <color rgb="FFCC00CC"/>
      <color rgb="FFCCFFFF"/>
      <color rgb="FFFFFF99"/>
      <color rgb="FFFFFFCC"/>
      <color rgb="FFFF9900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B$61" lockText="1" noThreeD="1"/>
</file>

<file path=xl/ctrlProps/ctrlProp2.xml><?xml version="1.0" encoding="utf-8"?>
<formControlPr xmlns="http://schemas.microsoft.com/office/spreadsheetml/2009/9/main" objectType="CheckBox" fmlaLink="$AB$62" lockText="1" noThreeD="1"/>
</file>

<file path=xl/ctrlProps/ctrlProp3.xml><?xml version="1.0" encoding="utf-8"?>
<formControlPr xmlns="http://schemas.microsoft.com/office/spreadsheetml/2009/9/main" objectType="CheckBox" fmlaLink="$AB$63" lockText="1" noThreeD="1"/>
</file>

<file path=xl/ctrlProps/ctrlProp4.xml><?xml version="1.0" encoding="utf-8"?>
<formControlPr xmlns="http://schemas.microsoft.com/office/spreadsheetml/2009/9/main" objectType="CheckBox" fmlaLink="$AB$60" lockText="1" noThreeD="1"/>
</file>

<file path=xl/ctrlProps/ctrlProp5.xml><?xml version="1.0" encoding="utf-8"?>
<formControlPr xmlns="http://schemas.microsoft.com/office/spreadsheetml/2009/9/main" objectType="CheckBox" fmlaLink="$AB$59" lockText="1" noThreeD="1"/>
</file>

<file path=xl/ctrlProps/ctrlProp6.xml><?xml version="1.0" encoding="utf-8"?>
<formControlPr xmlns="http://schemas.microsoft.com/office/spreadsheetml/2009/9/main" objectType="CheckBox" fmlaLink="$AB$60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43</xdr:row>
      <xdr:rowOff>10512</xdr:rowOff>
    </xdr:from>
    <xdr:to>
      <xdr:col>26</xdr:col>
      <xdr:colOff>38100</xdr:colOff>
      <xdr:row>57</xdr:row>
      <xdr:rowOff>0</xdr:rowOff>
    </xdr:to>
    <xdr:grpSp>
      <xdr:nvGrpSpPr>
        <xdr:cNvPr id="2" name="グループ化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/>
        </xdr:cNvGrpSpPr>
      </xdr:nvGrpSpPr>
      <xdr:grpSpPr bwMode="auto">
        <a:xfrm>
          <a:off x="285750" y="7178075"/>
          <a:ext cx="11218069" cy="2299300"/>
          <a:chOff x="-45119" y="-127571"/>
          <a:chExt cx="11468971" cy="2032573"/>
        </a:xfrm>
      </xdr:grpSpPr>
      <xdr:sp macro="" textlink="">
        <xdr:nvSpPr>
          <xdr:cNvPr id="3" name="AutoShape 26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>
            <a:spLocks noChangeArrowheads="1"/>
          </xdr:cNvSpPr>
        </xdr:nvSpPr>
        <xdr:spPr bwMode="auto">
          <a:xfrm rot="5400000">
            <a:off x="9873055" y="343358"/>
            <a:ext cx="700107" cy="2401487"/>
          </a:xfrm>
          <a:prstGeom prst="rightArrowCallout">
            <a:avLst>
              <a:gd name="adj1" fmla="val 21693"/>
              <a:gd name="adj2" fmla="val 26647"/>
              <a:gd name="adj3" fmla="val 15468"/>
              <a:gd name="adj4" fmla="val 65755"/>
            </a:avLst>
          </a:prstGeom>
          <a:solidFill>
            <a:srgbClr val="66FFFF"/>
          </a:solidFill>
          <a:ln w="2857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" name="AutoShape 26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>
            <a:spLocks noChangeArrowheads="1"/>
          </xdr:cNvSpPr>
        </xdr:nvSpPr>
        <xdr:spPr bwMode="auto">
          <a:xfrm rot="5400000">
            <a:off x="7274047" y="435100"/>
            <a:ext cx="710955" cy="2228850"/>
          </a:xfrm>
          <a:prstGeom prst="rightArrowCallout">
            <a:avLst>
              <a:gd name="adj1" fmla="val 21713"/>
              <a:gd name="adj2" fmla="val 26648"/>
              <a:gd name="adj3" fmla="val 15468"/>
              <a:gd name="adj4" fmla="val 65755"/>
            </a:avLst>
          </a:prstGeom>
          <a:solidFill>
            <a:srgbClr val="CCFFCC"/>
          </a:solidFill>
          <a:ln w="2857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5" name="AutoShape 26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>
            <a:spLocks noChangeArrowheads="1"/>
          </xdr:cNvSpPr>
        </xdr:nvSpPr>
        <xdr:spPr bwMode="auto">
          <a:xfrm rot="5400000">
            <a:off x="4893101" y="429296"/>
            <a:ext cx="699351" cy="2228850"/>
          </a:xfrm>
          <a:prstGeom prst="rightArrowCallout">
            <a:avLst>
              <a:gd name="adj1" fmla="val 21689"/>
              <a:gd name="adj2" fmla="val 26647"/>
              <a:gd name="adj3" fmla="val 15468"/>
              <a:gd name="adj4" fmla="val 65755"/>
            </a:avLst>
          </a:prstGeom>
          <a:solidFill>
            <a:srgbClr val="FFCCFF"/>
          </a:solidFill>
          <a:ln w="2857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6" name="Group 2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GrpSpPr>
            <a:grpSpLocks/>
          </xdr:cNvGrpSpPr>
        </xdr:nvGrpSpPr>
        <xdr:grpSpPr bwMode="auto">
          <a:xfrm>
            <a:off x="1654570" y="1173080"/>
            <a:ext cx="9715907" cy="712333"/>
            <a:chOff x="19" y="-209"/>
            <a:chExt cx="733" cy="76"/>
          </a:xfrm>
        </xdr:grpSpPr>
        <xdr:sp macro="" textlink="">
          <xdr:nvSpPr>
            <xdr:cNvPr id="10" name="AutoShape 26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SpPr>
              <a:spLocks noChangeArrowheads="1"/>
            </xdr:cNvSpPr>
          </xdr:nvSpPr>
          <xdr:spPr bwMode="auto">
            <a:xfrm rot="5400000">
              <a:off x="70" y="-259"/>
              <a:ext cx="75" cy="178"/>
            </a:xfrm>
            <a:prstGeom prst="rightArrowCallout">
              <a:avLst>
                <a:gd name="adj1" fmla="val 21712"/>
                <a:gd name="adj2" fmla="val 26656"/>
                <a:gd name="adj3" fmla="val 15468"/>
                <a:gd name="adj4" fmla="val 65755"/>
              </a:avLst>
            </a:prstGeom>
            <a:solidFill>
              <a:srgbClr val="FFFF00"/>
            </a:solidFill>
            <a:ln w="2857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" name="Text Box 31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4" y="-209"/>
              <a:ext cx="166" cy="58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74295" tIns="8890" rIns="74295" bIns="8890" anchor="ctr" upright="1"/>
            <a:lstStyle/>
            <a:p>
              <a:pPr algn="ctr" rtl="0">
                <a:lnSpc>
                  <a:spcPts val="1400"/>
                </a:lnSpc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ｺﾞｼｯｸE"/>
                  <a:ea typeface="HGｺﾞｼｯｸE"/>
                </a:rPr>
                <a:t>令和８年１月１日時点の年齢</a:t>
              </a:r>
            </a:p>
          </xdr:txBody>
        </xdr:sp>
        <xdr:sp macro="" textlink="">
          <xdr:nvSpPr>
            <xdr:cNvPr id="12" name="Text Box 32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06" y="-205"/>
              <a:ext cx="168" cy="49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74295" tIns="8890" rIns="74295" bIns="8890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令和７年１月～</a:t>
              </a:r>
              <a:r>
                <a:rPr lang="en-US" altLang="ja-JP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12</a:t>
              </a: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月の</a:t>
              </a:r>
              <a:endParaRPr lang="en-US" altLang="ja-JP" sz="1200" b="0" i="0" u="none" strike="noStrike" baseline="0">
                <a:solidFill>
                  <a:sysClr val="windowText" lastClr="000000"/>
                </a:solidFill>
                <a:latin typeface="HGPｺﾞｼｯｸE"/>
                <a:ea typeface="HGPｺﾞｼｯｸE"/>
              </a:endParaRPr>
            </a:p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合計給与支給額を入力</a:t>
              </a:r>
              <a:endParaRPr lang="ja-JP" altLang="en-US" sz="1200" b="0" i="0" u="none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endParaRPr>
            </a:p>
            <a:p>
              <a:pPr algn="ctr" rtl="0">
                <a:defRPr sz="1000"/>
              </a:pPr>
              <a:endParaRPr lang="ja-JP" altLang="en-US" sz="1050" b="0" i="0" u="none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endParaRPr>
            </a:p>
          </xdr:txBody>
        </xdr:sp>
        <xdr:sp macro="" textlink="">
          <xdr:nvSpPr>
            <xdr:cNvPr id="13" name="Text Box 33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85" y="-207"/>
              <a:ext cx="168" cy="58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74295" tIns="8890" rIns="74295" bIns="8890" anchor="ctr" upright="1"/>
            <a:lstStyle/>
            <a:p>
              <a:pPr algn="ctr" rtl="0">
                <a:lnSpc>
                  <a:spcPts val="1300"/>
                </a:lnSpc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令和７年１月～</a:t>
              </a:r>
              <a:r>
                <a:rPr lang="en-US" altLang="ja-JP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12</a:t>
              </a: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月の</a:t>
              </a:r>
              <a:endParaRPr lang="en-US" altLang="ja-JP" sz="1200" b="0" i="0" u="none" strike="noStrike" baseline="0">
                <a:solidFill>
                  <a:sysClr val="windowText" lastClr="000000"/>
                </a:solidFill>
                <a:latin typeface="HGPｺﾞｼｯｸE"/>
                <a:ea typeface="HGPｺﾞｼｯｸE"/>
              </a:endParaRPr>
            </a:p>
            <a:p>
              <a:pPr algn="ctr" rtl="0">
                <a:lnSpc>
                  <a:spcPts val="1300"/>
                </a:lnSpc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合計年金支給額を入力</a:t>
              </a:r>
            </a:p>
          </xdr:txBody>
        </xdr:sp>
        <xdr:sp macro="" textlink="">
          <xdr:nvSpPr>
            <xdr:cNvPr id="14" name="Text Box 34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76" y="-204"/>
              <a:ext cx="176" cy="46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74295" tIns="8890" rIns="74295" bIns="8890" anchor="ctr" upright="1"/>
            <a:lstStyle/>
            <a:p>
              <a:pPr algn="ctr" rtl="0">
                <a:lnSpc>
                  <a:spcPts val="1100"/>
                </a:lnSpc>
                <a:defRPr sz="1000"/>
              </a:pPr>
              <a:r>
                <a:rPr lang="ja-JP" altLang="en-US" sz="11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令和７年の営業その他収入から</a:t>
              </a:r>
              <a:endParaRPr lang="en-US" altLang="ja-JP" sz="1100" b="0" i="0" u="none" strike="noStrike" baseline="0">
                <a:solidFill>
                  <a:sysClr val="windowText" lastClr="000000"/>
                </a:solidFill>
                <a:latin typeface="HGPｺﾞｼｯｸE"/>
                <a:ea typeface="HGPｺﾞｼｯｸE"/>
              </a:endParaRPr>
            </a:p>
            <a:p>
              <a:pPr algn="ctr" rtl="0">
                <a:lnSpc>
                  <a:spcPts val="1100"/>
                </a:lnSpc>
                <a:defRPr sz="1000"/>
              </a:pPr>
              <a:r>
                <a:rPr lang="ja-JP" altLang="en-US" sz="11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諸経費を控除した金額</a:t>
              </a:r>
            </a:p>
          </xdr:txBody>
        </xdr:sp>
      </xdr:grpSp>
      <xdr:grpSp>
        <xdr:nvGrpSpPr>
          <xdr:cNvPr id="7" name="Group 3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GrpSpPr>
            <a:grpSpLocks/>
          </xdr:cNvGrpSpPr>
        </xdr:nvGrpSpPr>
        <xdr:grpSpPr bwMode="auto">
          <a:xfrm>
            <a:off x="-45119" y="-127571"/>
            <a:ext cx="11039476" cy="1367062"/>
            <a:chOff x="1713" y="1772"/>
            <a:chExt cx="7020" cy="3695"/>
          </a:xfrm>
        </xdr:grpSpPr>
        <xdr:sp macro="" textlink="">
          <xdr:nvSpPr>
            <xdr:cNvPr id="8" name="AutoShape 37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713" y="1825"/>
              <a:ext cx="7020" cy="3221"/>
            </a:xfrm>
            <a:prstGeom prst="flowChartAlternateProcess">
              <a:avLst/>
            </a:prstGeom>
            <a:solidFill>
              <a:srgbClr val="99FF66"/>
            </a:solidFill>
            <a:ln w="25400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9" name="Text Box 38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084" y="1772"/>
              <a:ext cx="6642" cy="3695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74295" tIns="8890" rIns="74295" bIns="8890" anchor="t" upright="1"/>
            <a:lstStyle/>
            <a:p>
              <a:pPr algn="l" rtl="0">
                <a:lnSpc>
                  <a:spcPts val="1500"/>
                </a:lnSpc>
                <a:defRPr sz="1000"/>
              </a:pPr>
              <a:endParaRPr lang="en-US" altLang="ja-JP" sz="1300" b="0" i="0" u="none" strike="noStrike" baseline="0">
                <a:solidFill>
                  <a:srgbClr val="000000"/>
                </a:solidFill>
                <a:latin typeface="HGPｺﾞｼｯｸE"/>
                <a:ea typeface="HGPｺﾞｼｯｸE"/>
              </a:endParaRPr>
            </a:p>
            <a:p>
              <a:pPr algn="l" rtl="0">
                <a:lnSpc>
                  <a:spcPts val="1500"/>
                </a:lnSpc>
                <a:defRPr sz="1000"/>
              </a:pPr>
              <a:r>
                <a:rPr lang="ja-JP" altLang="en-US" sz="2000" b="0" i="0" u="none" strike="noStrike" baseline="0">
                  <a:solidFill>
                    <a:srgbClr val="000000"/>
                  </a:solidFill>
                  <a:latin typeface="HGPｺﾞｼｯｸE"/>
                  <a:ea typeface="HGPｺﾞｼｯｸE"/>
                </a:rPr>
                <a:t>国民健康保険に加入する方の年齢、収入、所得を入力してください。</a:t>
              </a:r>
              <a:endParaRPr lang="ja-JP" altLang="en-US" sz="18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endParaRPr>
            </a:p>
            <a:p>
              <a:pPr algn="l" rtl="0">
                <a:lnSpc>
                  <a:spcPts val="2000"/>
                </a:lnSpc>
                <a:defRPr sz="1000"/>
              </a:pPr>
              <a:r>
                <a:rPr lang="ja-JP" altLang="en-US" sz="12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★　</a:t>
              </a:r>
              <a:r>
                <a:rPr lang="ja-JP" altLang="en-US" sz="14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世帯主の方が加入しない場合、年齢は空欄</a:t>
              </a:r>
              <a:r>
                <a:rPr lang="ja-JP" altLang="en-US" sz="12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のまま</a:t>
              </a:r>
              <a:r>
                <a:rPr lang="ja-JP" altLang="en-US" sz="14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「収入と所得のみ」入力してください。</a:t>
              </a:r>
              <a:endParaRPr lang="en-US" altLang="ja-JP" sz="1400" b="0" i="0" u="none" strike="noStrike" baseline="0">
                <a:solidFill>
                  <a:srgbClr val="FF0000"/>
                </a:solidFill>
                <a:latin typeface="HGPｺﾞｼｯｸE"/>
                <a:ea typeface="HGPｺﾞｼｯｸE"/>
              </a:endParaRPr>
            </a:p>
            <a:p>
              <a:pPr algn="l" rtl="0">
                <a:lnSpc>
                  <a:spcPts val="2000"/>
                </a:lnSpc>
                <a:defRPr sz="1000"/>
              </a:pPr>
              <a:r>
                <a:rPr lang="ja-JP" altLang="en-US" sz="12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★　</a:t>
              </a:r>
              <a:r>
                <a:rPr lang="ja-JP" altLang="en-US" sz="14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未就学児が被保険者にいる場合は、「年齢」右隣の「未就学児」に☑を加えてださい。</a:t>
              </a:r>
              <a:endParaRPr lang="ja-JP" altLang="en-US" sz="1600" b="0" i="0" u="none" strike="noStrike" baseline="0">
                <a:solidFill>
                  <a:srgbClr val="FF0000"/>
                </a:solidFill>
                <a:latin typeface="Times New Roman"/>
                <a:cs typeface="Times New Roman"/>
              </a:endParaRPr>
            </a:p>
            <a:p>
              <a:pPr marL="0" marR="0" indent="0" algn="l" defTabSz="914400" rtl="0" eaLnBrk="1" fontAlgn="auto" latinLnBrk="0" hangingPunct="1">
                <a:lnSpc>
                  <a:spcPts val="19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lang="ja-JP" altLang="ja-JP" sz="1200" b="0" i="0" u="none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★　</a:t>
              </a:r>
              <a:r>
                <a:rPr lang="en-US" altLang="ja-JP" sz="1400" b="0" i="0" u="sng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H20</a:t>
              </a:r>
              <a:r>
                <a:rPr lang="ja-JP" altLang="en-US" sz="1400" b="0" i="0" u="sng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（</a:t>
              </a:r>
              <a:r>
                <a:rPr lang="en-US" altLang="ja-JP" sz="1400" b="0" i="0" u="sng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2008</a:t>
              </a:r>
              <a:r>
                <a:rPr lang="ja-JP" altLang="en-US" sz="1400" b="0" i="0" u="sng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）年４月２日～</a:t>
              </a:r>
              <a:r>
                <a:rPr lang="en-US" altLang="ja-JP" sz="1400" b="0" i="0" u="sng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H21</a:t>
              </a:r>
              <a:r>
                <a:rPr lang="ja-JP" altLang="en-US" sz="1400" b="0" i="0" u="sng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（</a:t>
              </a:r>
              <a:r>
                <a:rPr lang="en-US" altLang="ja-JP" sz="1400" b="0" i="0" u="sng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2009</a:t>
              </a:r>
              <a:r>
                <a:rPr lang="ja-JP" altLang="en-US" sz="1400" b="0" i="0" u="sng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）年４月１日生まれまでの人は、</a:t>
              </a:r>
              <a:endParaRPr lang="en-US" altLang="ja-JP" sz="1400" b="0" i="0" u="sng" baseline="0">
                <a:solidFill>
                  <a:srgbClr val="FF0000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endParaRPr>
            </a:p>
            <a:p>
              <a:pPr marL="0" marR="0" indent="0" algn="l" defTabSz="914400" rtl="0" eaLnBrk="1" fontAlgn="auto" latinLnBrk="0" hangingPunct="1">
                <a:lnSpc>
                  <a:spcPts val="15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lang="ja-JP" altLang="en-US" sz="1400" b="0" i="0" u="none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　　</a:t>
              </a:r>
              <a:r>
                <a:rPr lang="ja-JP" altLang="en-US" sz="1400" b="0" i="0" u="sng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試算シートでは年齢欄に「１７」と入力して、計算してください。</a:t>
              </a:r>
              <a:endParaRPr lang="en-US" altLang="ja-JP" sz="1200" b="0" i="0" u="sng" baseline="0">
                <a:solidFill>
                  <a:srgbClr val="FF0000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endParaRPr>
            </a:p>
            <a:p>
              <a:pPr marL="0" marR="0" indent="0" algn="l" defTabSz="914400" rtl="0" eaLnBrk="1" fontAlgn="auto" latinLnBrk="0" hangingPunct="1">
                <a:lnSpc>
                  <a:spcPts val="14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lang="ja-JP" altLang="en-US" sz="1100" b="0" i="0" u="none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　</a:t>
              </a:r>
              <a:r>
                <a:rPr lang="ja-JP" altLang="en-US" sz="1200" b="0" i="0" u="none" baseline="0">
                  <a:solidFill>
                    <a:srgbClr val="FF0000"/>
                  </a:solidFill>
                  <a:effectLst/>
                  <a:latin typeface="HGPｺﾞｼｯｸE" panose="020B0900000000000000" pitchFamily="50" charset="-128"/>
                  <a:ea typeface="HGPｺﾞｼｯｸE" panose="020B0900000000000000" pitchFamily="50" charset="-128"/>
                  <a:cs typeface="+mn-cs"/>
                </a:rPr>
                <a:t>　</a:t>
              </a:r>
              <a:endParaRPr lang="ja-JP" altLang="ja-JP" sz="1800" b="0" u="sng">
                <a:solidFill>
                  <a:srgbClr val="FF0000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</a:endParaRPr>
            </a:p>
            <a:p>
              <a:pPr algn="l" rtl="0">
                <a:lnSpc>
                  <a:spcPts val="1400"/>
                </a:lnSpc>
                <a:defRPr sz="1000"/>
              </a:pPr>
              <a:endParaRPr lang="ja-JP" altLang="en-US" sz="14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endParaRPr>
            </a:p>
          </xdr:txBody>
        </xdr:sp>
      </xdr:grpSp>
    </xdr:grpSp>
    <xdr:clientData/>
  </xdr:twoCellAnchor>
  <xdr:twoCellAnchor>
    <xdr:from>
      <xdr:col>4</xdr:col>
      <xdr:colOff>0</xdr:colOff>
      <xdr:row>6</xdr:row>
      <xdr:rowOff>47625</xdr:rowOff>
    </xdr:from>
    <xdr:to>
      <xdr:col>22</xdr:col>
      <xdr:colOff>0</xdr:colOff>
      <xdr:row>15</xdr:row>
      <xdr:rowOff>57150</xdr:rowOff>
    </xdr:to>
    <xdr:sp macro="" textlink="">
      <xdr:nvSpPr>
        <xdr:cNvPr id="15" name="Text Box 1" descr="青い画用紙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447800" y="1076325"/>
          <a:ext cx="8572500" cy="1552575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381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82296" tIns="41148" rIns="0" bIns="41148" anchor="ctr" upright="1"/>
        <a:lstStyle/>
        <a:p>
          <a:pPr algn="ctr" rtl="0">
            <a:lnSpc>
              <a:spcPts val="4000"/>
            </a:lnSpc>
            <a:defRPr sz="1000"/>
          </a:pPr>
          <a:r>
            <a:rPr lang="ja-JP" altLang="en-US" sz="3600" b="0" i="0" u="none" strike="noStrike" baseline="0">
              <a:solidFill>
                <a:srgbClr val="800000"/>
              </a:solidFill>
              <a:latin typeface="HGS創英角ﾎﾟｯﾌﾟ体"/>
              <a:ea typeface="HGS創英角ﾎﾟｯﾌﾟ体"/>
            </a:rPr>
            <a:t>令和８年度</a:t>
          </a:r>
          <a:endParaRPr lang="en-US" altLang="ja-JP" sz="3600" b="0" i="0" u="none" strike="noStrike" baseline="0">
            <a:solidFill>
              <a:srgbClr val="800000"/>
            </a:solidFill>
            <a:latin typeface="HGS創英角ﾎﾟｯﾌﾟ体"/>
            <a:ea typeface="HGS創英角ﾎﾟｯﾌﾟ体"/>
          </a:endParaRPr>
        </a:p>
        <a:p>
          <a:pPr algn="ctr" rtl="0">
            <a:lnSpc>
              <a:spcPts val="4000"/>
            </a:lnSpc>
            <a:defRPr sz="1000"/>
          </a:pPr>
          <a:r>
            <a:rPr lang="ja-JP" altLang="en-US" sz="3600" b="0" i="0" u="none" strike="noStrike" baseline="0">
              <a:solidFill>
                <a:srgbClr val="800000"/>
              </a:solidFill>
              <a:latin typeface="HGS創英角ﾎﾟｯﾌﾟ体"/>
              <a:ea typeface="HGS創英角ﾎﾟｯﾌﾟ体"/>
            </a:rPr>
            <a:t>狛江市国民健康保険税　試算シート</a:t>
          </a:r>
        </a:p>
      </xdr:txBody>
    </xdr:sp>
    <xdr:clientData/>
  </xdr:twoCellAnchor>
  <xdr:twoCellAnchor>
    <xdr:from>
      <xdr:col>2</xdr:col>
      <xdr:colOff>52388</xdr:colOff>
      <xdr:row>21</xdr:row>
      <xdr:rowOff>66675</xdr:rowOff>
    </xdr:from>
    <xdr:to>
      <xdr:col>24</xdr:col>
      <xdr:colOff>23813</xdr:colOff>
      <xdr:row>30</xdr:row>
      <xdr:rowOff>11906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552451" y="3567113"/>
          <a:ext cx="10437018" cy="144541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45720" tIns="22860" rIns="0" bIns="0" anchor="ctr" upright="1"/>
        <a:lstStyle/>
        <a:p>
          <a:pPr algn="ctr" rtl="0">
            <a:lnSpc>
              <a:spcPts val="1700"/>
            </a:lnSpc>
            <a:defRPr sz="1000"/>
          </a:pPr>
          <a:r>
            <a:rPr lang="ja-JP" altLang="en-US" sz="1400" b="1" i="0" u="none" strike="noStrike" baseline="0">
              <a:solidFill>
                <a:srgbClr val="3366FF"/>
              </a:solidFill>
              <a:latin typeface="HG丸ｺﾞｼｯｸM-PRO"/>
              <a:ea typeface="HG丸ｺﾞｼｯｸM-PRO"/>
            </a:rPr>
            <a:t>この国民健康保険税試算シートは、狛江市国民健康保険に加入いただいた場合の</a:t>
          </a:r>
          <a:r>
            <a:rPr lang="ja-JP" altLang="en-US" sz="1400" b="1" i="0" u="sng" strike="noStrike" baseline="0">
              <a:solidFill>
                <a:srgbClr val="3366FF"/>
              </a:solidFill>
              <a:latin typeface="HG丸ｺﾞｼｯｸM-PRO"/>
              <a:ea typeface="HG丸ｺﾞｼｯｸM-PRO"/>
            </a:rPr>
            <a:t>令和８年度</a:t>
          </a:r>
          <a:r>
            <a:rPr lang="ja-JP" altLang="en-US" sz="1400" b="1" i="0" u="none" strike="noStrike" baseline="0">
              <a:solidFill>
                <a:srgbClr val="3366FF"/>
              </a:solidFill>
              <a:latin typeface="HG丸ｺﾞｼｯｸM-PRO"/>
              <a:ea typeface="HG丸ｺﾞｼｯｸM-PRO"/>
            </a:rPr>
            <a:t>の税額を試算するものです。</a:t>
          </a:r>
          <a:endParaRPr lang="ja-JP" altLang="en-US" sz="1400" b="0" i="0" u="none" strike="noStrike" baseline="0">
            <a:solidFill>
              <a:srgbClr val="FF99CC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700"/>
            </a:lnSpc>
            <a:defRPr sz="1000"/>
          </a:pPr>
          <a:endParaRPr lang="ja-JP" altLang="en-US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7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★ 試算結果は実際の国民健康保険税額と異なる場合があります。このことについてご了承いただける方のみご使用ください。</a:t>
          </a:r>
        </a:p>
      </xdr:txBody>
    </xdr:sp>
    <xdr:clientData/>
  </xdr:twoCellAnchor>
  <xdr:twoCellAnchor>
    <xdr:from>
      <xdr:col>7</xdr:col>
      <xdr:colOff>319087</xdr:colOff>
      <xdr:row>33</xdr:row>
      <xdr:rowOff>142875</xdr:rowOff>
    </xdr:from>
    <xdr:to>
      <xdr:col>19</xdr:col>
      <xdr:colOff>33336</xdr:colOff>
      <xdr:row>39</xdr:row>
      <xdr:rowOff>142875</xdr:rowOff>
    </xdr:to>
    <xdr:sp macro="" textlink="">
      <xdr:nvSpPr>
        <xdr:cNvPr id="17" name="下矢印吹き出し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3200400" y="5643563"/>
          <a:ext cx="5429249" cy="1000125"/>
        </a:xfrm>
        <a:prstGeom prst="downArrowCallout">
          <a:avLst/>
        </a:prstGeom>
        <a:solidFill>
          <a:srgbClr val="FF99CC"/>
        </a:solidFill>
        <a:ln w="2540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74295" tIns="8890" rIns="74295" bIns="8890" rtlCol="0" anchor="ctr" upright="1"/>
        <a:lstStyle/>
        <a:p>
          <a:pPr algn="ctr"/>
          <a:r>
            <a:rPr kumimoji="1" lang="ja-JP" altLang="en-US" sz="1400" b="1">
              <a:solidFill>
                <a:schemeClr val="tx1"/>
              </a:solidFill>
            </a:rPr>
            <a:t>ご了承いただけましたら</a:t>
          </a:r>
          <a:r>
            <a:rPr kumimoji="1" lang="ja-JP" altLang="en-US" sz="1400" b="1" baseline="0">
              <a:solidFill>
                <a:schemeClr val="tx1"/>
              </a:solidFill>
            </a:rPr>
            <a:t> </a:t>
          </a:r>
          <a:r>
            <a:rPr kumimoji="1" lang="ja-JP" altLang="en-US" sz="1400" b="1">
              <a:solidFill>
                <a:schemeClr val="tx1"/>
              </a:solidFill>
            </a:rPr>
            <a:t>下にスクロールしてください。</a:t>
          </a:r>
        </a:p>
      </xdr:txBody>
    </xdr:sp>
    <xdr:clientData/>
  </xdr:twoCellAnchor>
  <xdr:twoCellAnchor>
    <xdr:from>
      <xdr:col>8</xdr:col>
      <xdr:colOff>154781</xdr:colOff>
      <xdr:row>64</xdr:row>
      <xdr:rowOff>119063</xdr:rowOff>
    </xdr:from>
    <xdr:to>
      <xdr:col>17</xdr:col>
      <xdr:colOff>154781</xdr:colOff>
      <xdr:row>65</xdr:row>
      <xdr:rowOff>119063</xdr:rowOff>
    </xdr:to>
    <xdr:sp macro="" textlink="">
      <xdr:nvSpPr>
        <xdr:cNvPr id="18" name="下矢印吹き出し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 bwMode="auto">
        <a:xfrm>
          <a:off x="3512344" y="14454188"/>
          <a:ext cx="4286250" cy="1166813"/>
        </a:xfrm>
        <a:prstGeom prst="downArrowCallout">
          <a:avLst/>
        </a:prstGeom>
        <a:solidFill>
          <a:srgbClr val="FF99CC"/>
        </a:solidFill>
        <a:ln w="2540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74295" tIns="8890" rIns="74295" bIns="8890" rtlCol="0" anchor="ctr" upright="1"/>
        <a:lstStyle/>
        <a:p>
          <a:pPr algn="ctr"/>
          <a:endParaRPr kumimoji="1" lang="en-US" altLang="ja-JP" sz="1400" b="1" baseline="0">
            <a:solidFill>
              <a:schemeClr val="tx1"/>
            </a:solidFill>
          </a:endParaRPr>
        </a:p>
        <a:p>
          <a:pPr algn="ctr"/>
          <a:r>
            <a:rPr kumimoji="1" lang="ja-JP" altLang="en-US" sz="1400" b="1" baseline="0">
              <a:solidFill>
                <a:schemeClr val="tx1"/>
              </a:solidFill>
            </a:rPr>
            <a:t>入力が終わったら 下にスクロールしてください。</a:t>
          </a:r>
          <a:endParaRPr kumimoji="1" lang="en-US" altLang="ja-JP" sz="1400" b="1" baseline="0">
            <a:solidFill>
              <a:schemeClr val="tx1"/>
            </a:solidFill>
          </a:endParaRPr>
        </a:p>
        <a:p>
          <a:pPr algn="ctr"/>
          <a:endParaRPr kumimoji="1" lang="ja-JP" altLang="en-US" sz="1400" b="1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59</xdr:row>
          <xdr:rowOff>190500</xdr:rowOff>
        </xdr:from>
        <xdr:to>
          <xdr:col>9</xdr:col>
          <xdr:colOff>419100</xdr:colOff>
          <xdr:row>59</xdr:row>
          <xdr:rowOff>619125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60</xdr:row>
          <xdr:rowOff>190500</xdr:rowOff>
        </xdr:from>
        <xdr:to>
          <xdr:col>9</xdr:col>
          <xdr:colOff>409575</xdr:colOff>
          <xdr:row>60</xdr:row>
          <xdr:rowOff>619125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61</xdr:row>
          <xdr:rowOff>190500</xdr:rowOff>
        </xdr:from>
        <xdr:to>
          <xdr:col>9</xdr:col>
          <xdr:colOff>419100</xdr:colOff>
          <xdr:row>61</xdr:row>
          <xdr:rowOff>628650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62</xdr:row>
          <xdr:rowOff>190500</xdr:rowOff>
        </xdr:from>
        <xdr:to>
          <xdr:col>9</xdr:col>
          <xdr:colOff>419100</xdr:colOff>
          <xdr:row>62</xdr:row>
          <xdr:rowOff>619125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0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58</xdr:row>
          <xdr:rowOff>190500</xdr:rowOff>
        </xdr:from>
        <xdr:to>
          <xdr:col>9</xdr:col>
          <xdr:colOff>419100</xdr:colOff>
          <xdr:row>58</xdr:row>
          <xdr:rowOff>619125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0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59</xdr:row>
          <xdr:rowOff>190500</xdr:rowOff>
        </xdr:from>
        <xdr:to>
          <xdr:col>9</xdr:col>
          <xdr:colOff>419100</xdr:colOff>
          <xdr:row>59</xdr:row>
          <xdr:rowOff>619125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0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22</xdr:col>
      <xdr:colOff>142875</xdr:colOff>
      <xdr:row>45</xdr:row>
      <xdr:rowOff>71437</xdr:rowOff>
    </xdr:from>
    <xdr:to>
      <xdr:col>27</xdr:col>
      <xdr:colOff>535781</xdr:colOff>
      <xdr:row>49</xdr:row>
      <xdr:rowOff>154782</xdr:rowOff>
    </xdr:to>
    <xdr:sp macro="" textlink="">
      <xdr:nvSpPr>
        <xdr:cNvPr id="25" name="Text Box 1" descr="青い画用紙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0167938" y="7572375"/>
          <a:ext cx="2416968" cy="833438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381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82296" tIns="41148" rIns="0" bIns="41148" anchor="ctr" upright="1"/>
        <a:lstStyle/>
        <a:p>
          <a:pPr algn="ctr" rtl="0">
            <a:lnSpc>
              <a:spcPts val="4000"/>
            </a:lnSpc>
            <a:defRPr sz="1000"/>
          </a:pPr>
          <a:r>
            <a:rPr lang="ja-JP" altLang="en-US" sz="2800" b="0" i="0" u="none" strike="noStrike" baseline="0">
              <a:solidFill>
                <a:srgbClr val="800000"/>
              </a:solidFill>
              <a:latin typeface="HGS創英角ﾎﾟｯﾌﾟ体"/>
              <a:ea typeface="HGS創英角ﾎﾟｯﾌﾟ体"/>
            </a:rPr>
            <a:t>令和８年度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006\file_db\&#31119;&#31049;&#20445;&#20581;&#37096;\&#20445;&#38522;&#24180;&#37329;&#35506;\&#9632;&#12288;&#22269;&#12288;&#20445;&#12288;&#9632;\&#9660;&#12288;&#36070;&#12288;&#12288;&#12288;&#12288;&#35506;&#12288;&#9660;\&#35430;&#31639;&#12471;&#12540;&#12488;\&#20196;&#21644;&#65299;&#24180;&#24230;&#35430;&#31639;&#12471;&#12540;&#12488;\&#30000;&#25152;&#30740;&#31350;&#25152;\R3&#22269;&#20445;&#31246;&#35430;&#31639;&#12471;&#12540;&#12488;&#12304;&#30000;&#25152;&#23455;&#39443;&#20013;&#1230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試算シート"/>
      <sheetName val="税額計算"/>
    </sheetNames>
    <sheetDataSet>
      <sheetData sheetId="0"/>
      <sheetData sheetId="1">
        <row r="10">
          <cell r="F10">
            <v>60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19"/>
  <sheetViews>
    <sheetView showGridLines="0" tabSelected="1" showOutlineSymbols="0" zoomScale="80" zoomScaleNormal="80" zoomScaleSheetLayoutView="70" workbookViewId="0">
      <selection activeCell="K62" sqref="K62:O62"/>
    </sheetView>
  </sheetViews>
  <sheetFormatPr defaultRowHeight="18.75"/>
  <cols>
    <col min="1" max="1" width="3.75" style="159" customWidth="1"/>
    <col min="2" max="2" width="2.75" style="159" customWidth="1"/>
    <col min="3" max="23" width="6.25" style="159" customWidth="1"/>
    <col min="24" max="24" width="6.125" style="159" customWidth="1"/>
    <col min="25" max="25" width="2.5" style="159" customWidth="1"/>
    <col min="26" max="26" width="4" style="159" customWidth="1"/>
    <col min="27" max="27" width="7.625" style="159" customWidth="1"/>
    <col min="28" max="28" width="8.75" style="159" customWidth="1"/>
    <col min="29" max="16384" width="9" style="159"/>
  </cols>
  <sheetData>
    <row r="1" spans="1:28" s="1" customFormat="1" ht="13.5">
      <c r="A1" s="146"/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212"/>
    </row>
    <row r="2" spans="1:28" s="1" customFormat="1" ht="13.5">
      <c r="A2" s="146"/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212"/>
    </row>
    <row r="3" spans="1:28" s="1" customFormat="1" ht="13.5">
      <c r="A3" s="146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212"/>
    </row>
    <row r="4" spans="1:28" s="1" customFormat="1" ht="13.5">
      <c r="A4" s="146"/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212"/>
    </row>
    <row r="5" spans="1:28" s="1" customFormat="1" ht="13.5">
      <c r="A5" s="146"/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46"/>
      <c r="AA5" s="146"/>
      <c r="AB5" s="212"/>
    </row>
    <row r="6" spans="1:28" s="1" customFormat="1" ht="13.5">
      <c r="A6" s="146"/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212"/>
    </row>
    <row r="7" spans="1:28" s="1" customFormat="1" ht="13.5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  <c r="Z7" s="146"/>
      <c r="AA7" s="146"/>
      <c r="AB7" s="212"/>
    </row>
    <row r="8" spans="1:28" s="1" customFormat="1" ht="13.5">
      <c r="A8" s="146"/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212"/>
    </row>
    <row r="9" spans="1:28" s="1" customFormat="1" ht="13.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212"/>
    </row>
    <row r="10" spans="1:28" s="1" customFormat="1" ht="13.5">
      <c r="A10" s="146"/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212"/>
    </row>
    <row r="11" spans="1:28" s="1" customFormat="1" ht="13.5">
      <c r="A11" s="146"/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212"/>
    </row>
    <row r="12" spans="1:28" s="1" customFormat="1" ht="13.5">
      <c r="A12" s="146"/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6"/>
      <c r="AB12" s="212"/>
    </row>
    <row r="13" spans="1:28" s="1" customFormat="1" ht="13.5">
      <c r="A13" s="146"/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  <c r="AB13" s="212"/>
    </row>
    <row r="14" spans="1:28" s="1" customFormat="1" ht="13.5">
      <c r="A14" s="146"/>
      <c r="B14" s="146"/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212"/>
    </row>
    <row r="15" spans="1:28" s="1" customFormat="1" ht="13.5">
      <c r="A15" s="146"/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212"/>
    </row>
    <row r="16" spans="1:28" s="1" customFormat="1" ht="13.5">
      <c r="A16" s="146"/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212"/>
    </row>
    <row r="17" spans="1:28" s="1" customFormat="1" ht="13.5">
      <c r="A17" s="146"/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212"/>
    </row>
    <row r="18" spans="1:28" s="1" customFormat="1" ht="13.5">
      <c r="A18" s="146"/>
      <c r="B18" s="146"/>
      <c r="C18" s="146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212"/>
    </row>
    <row r="19" spans="1:28" s="1" customFormat="1" ht="13.5">
      <c r="A19" s="146"/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212"/>
    </row>
    <row r="20" spans="1:28" s="1" customFormat="1" ht="13.5">
      <c r="A20" s="146"/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  <c r="AB20" s="212"/>
    </row>
    <row r="21" spans="1:28" s="1" customFormat="1" ht="13.5">
      <c r="A21" s="146"/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  <c r="AB21" s="212"/>
    </row>
    <row r="22" spans="1:28" s="1" customFormat="1" ht="13.5">
      <c r="A22" s="146"/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212"/>
    </row>
    <row r="23" spans="1:28" s="1" customFormat="1" ht="13.5">
      <c r="A23" s="146"/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  <c r="AB23" s="212"/>
    </row>
    <row r="24" spans="1:28" s="1" customFormat="1" ht="13.5">
      <c r="A24" s="146"/>
      <c r="B24" s="146"/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212"/>
    </row>
    <row r="25" spans="1:28" s="1" customFormat="1" ht="13.5">
      <c r="A25" s="146"/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212"/>
    </row>
    <row r="26" spans="1:28" s="1" customFormat="1" ht="13.5">
      <c r="A26" s="146"/>
      <c r="B26" s="146"/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  <c r="AB26" s="212"/>
    </row>
    <row r="27" spans="1:28" s="1" customFormat="1" ht="13.5">
      <c r="A27" s="146"/>
      <c r="B27" s="146"/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  <c r="AB27" s="212"/>
    </row>
    <row r="28" spans="1:28" s="1" customFormat="1" ht="13.5">
      <c r="A28" s="146"/>
      <c r="B28" s="146"/>
      <c r="C28" s="146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  <c r="AB28" s="212"/>
    </row>
    <row r="29" spans="1:28" s="1" customFormat="1" ht="13.5">
      <c r="A29" s="146"/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  <c r="AB29" s="212"/>
    </row>
    <row r="30" spans="1:28" s="1" customFormat="1" ht="13.5">
      <c r="A30" s="14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212"/>
    </row>
    <row r="31" spans="1:28" s="1" customFormat="1" ht="13.5">
      <c r="A31" s="146"/>
      <c r="B31" s="146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212"/>
    </row>
    <row r="32" spans="1:28" s="1" customFormat="1" ht="13.5">
      <c r="A32" s="146"/>
      <c r="B32" s="146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212"/>
    </row>
    <row r="33" spans="1:28" s="1" customFormat="1" ht="13.5">
      <c r="A33" s="146"/>
      <c r="B33" s="146"/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6"/>
      <c r="AB33" s="212"/>
    </row>
    <row r="34" spans="1:28" s="1" customFormat="1" ht="13.5">
      <c r="A34" s="146"/>
      <c r="B34" s="146"/>
      <c r="C34" s="146"/>
      <c r="D34" s="146"/>
      <c r="E34" s="146"/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6"/>
      <c r="AB34" s="212"/>
    </row>
    <row r="35" spans="1:28" s="1" customFormat="1" ht="13.5">
      <c r="A35" s="146"/>
      <c r="B35" s="146"/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212"/>
    </row>
    <row r="36" spans="1:28" s="1" customFormat="1" ht="13.5">
      <c r="A36" s="146"/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212"/>
    </row>
    <row r="37" spans="1:28" s="1" customFormat="1" ht="13.5">
      <c r="A37" s="146"/>
      <c r="B37" s="146"/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212"/>
    </row>
    <row r="38" spans="1:28" s="1" customFormat="1" ht="13.5">
      <c r="A38" s="146"/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212"/>
    </row>
    <row r="39" spans="1:28" s="1" customFormat="1" ht="13.5">
      <c r="A39" s="146"/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212"/>
    </row>
    <row r="40" spans="1:28" s="1" customFormat="1" ht="13.5">
      <c r="A40" s="146"/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212"/>
    </row>
    <row r="41" spans="1:28" s="1" customFormat="1" ht="13.5">
      <c r="A41" s="146"/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212"/>
    </row>
    <row r="42" spans="1:28" s="1" customFormat="1" ht="13.5">
      <c r="A42" s="146"/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212"/>
    </row>
    <row r="43" spans="1:28" s="1" customFormat="1" ht="13.5">
      <c r="A43" s="146"/>
      <c r="B43" s="146"/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212"/>
    </row>
    <row r="44" spans="1:28" s="1" customFormat="1" ht="13.5">
      <c r="A44" s="146"/>
      <c r="B44" s="146"/>
      <c r="C44" s="146"/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212"/>
    </row>
    <row r="45" spans="1:28" s="1" customFormat="1" ht="13.5">
      <c r="A45" s="146"/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212"/>
    </row>
    <row r="46" spans="1:28" s="1" customFormat="1" ht="19.5" customHeight="1">
      <c r="A46" s="147"/>
      <c r="B46" s="148"/>
      <c r="C46" s="148"/>
      <c r="D46" s="148"/>
      <c r="E46" s="148"/>
      <c r="F46" s="148"/>
      <c r="G46" s="148"/>
      <c r="H46" s="148"/>
      <c r="I46" s="148"/>
      <c r="J46" s="148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</row>
    <row r="47" spans="1:28" s="1" customFormat="1" ht="13.5">
      <c r="A47" s="147"/>
      <c r="B47" s="148"/>
      <c r="C47" s="148"/>
      <c r="D47" s="148"/>
      <c r="E47" s="148"/>
      <c r="F47" s="148"/>
      <c r="G47" s="148"/>
      <c r="H47" s="148"/>
      <c r="I47" s="148"/>
      <c r="J47" s="148"/>
      <c r="K47" s="147"/>
      <c r="L47" s="147"/>
      <c r="M47" s="147"/>
      <c r="N47" s="147"/>
      <c r="O47" s="147"/>
      <c r="P47" s="147"/>
      <c r="Q47" s="147"/>
      <c r="R47" s="147"/>
      <c r="S47" s="147"/>
      <c r="T47" s="147"/>
      <c r="U47" s="147"/>
      <c r="V47" s="147"/>
      <c r="W47" s="147"/>
      <c r="X47" s="147"/>
      <c r="Y47" s="147"/>
      <c r="Z47" s="147"/>
      <c r="AA47" s="147"/>
      <c r="AB47" s="147"/>
    </row>
    <row r="48" spans="1:28" s="1" customFormat="1" ht="13.5">
      <c r="A48" s="147"/>
      <c r="B48" s="148"/>
      <c r="C48" s="148"/>
      <c r="D48" s="148"/>
      <c r="E48" s="148"/>
      <c r="F48" s="148"/>
      <c r="G48" s="148"/>
      <c r="H48" s="148"/>
      <c r="I48" s="148"/>
      <c r="J48" s="148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</row>
    <row r="49" spans="1:28" s="1" customFormat="1" ht="13.5">
      <c r="A49" s="147"/>
      <c r="B49" s="148"/>
      <c r="C49" s="148"/>
      <c r="D49" s="148"/>
      <c r="E49" s="148"/>
      <c r="F49" s="148"/>
      <c r="G49" s="148"/>
      <c r="H49" s="148"/>
      <c r="I49" s="148"/>
      <c r="J49" s="148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</row>
    <row r="50" spans="1:28" s="1" customFormat="1" ht="13.5">
      <c r="A50" s="147"/>
      <c r="B50" s="148"/>
      <c r="C50" s="148"/>
      <c r="D50" s="148"/>
      <c r="E50" s="148"/>
      <c r="F50" s="148"/>
      <c r="G50" s="148"/>
      <c r="H50" s="148"/>
      <c r="I50" s="148"/>
      <c r="J50" s="148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</row>
    <row r="51" spans="1:28" s="1" customFormat="1" ht="13.5">
      <c r="A51" s="147"/>
      <c r="B51" s="148"/>
      <c r="C51" s="148"/>
      <c r="D51" s="148"/>
      <c r="E51" s="148"/>
      <c r="F51" s="148"/>
      <c r="G51" s="148"/>
      <c r="H51" s="148"/>
      <c r="I51" s="148"/>
      <c r="J51" s="148"/>
      <c r="K51" s="147"/>
      <c r="L51" s="147"/>
      <c r="M51" s="147"/>
      <c r="N51" s="147"/>
      <c r="O51" s="147"/>
      <c r="P51" s="147"/>
      <c r="Q51" s="147"/>
      <c r="R51" s="147"/>
      <c r="S51" s="147"/>
      <c r="T51" s="147"/>
      <c r="U51" s="147"/>
      <c r="V51" s="147"/>
      <c r="W51" s="147"/>
      <c r="X51" s="147"/>
      <c r="Y51" s="147"/>
      <c r="Z51" s="147"/>
      <c r="AA51" s="147"/>
      <c r="AB51" s="147"/>
    </row>
    <row r="52" spans="1:28" s="1" customFormat="1" ht="8.25" customHeight="1">
      <c r="A52" s="147"/>
      <c r="B52" s="148"/>
      <c r="C52" s="148"/>
      <c r="D52" s="148"/>
      <c r="E52" s="148"/>
      <c r="F52" s="148"/>
      <c r="G52" s="148"/>
      <c r="H52" s="148"/>
      <c r="I52" s="149"/>
      <c r="J52" s="149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</row>
    <row r="53" spans="1:28" s="1" customFormat="1" ht="8.25" customHeight="1">
      <c r="A53" s="147"/>
      <c r="B53" s="148"/>
      <c r="C53" s="148"/>
      <c r="D53" s="148"/>
      <c r="E53" s="148"/>
      <c r="F53" s="148"/>
      <c r="G53" s="148"/>
      <c r="H53" s="148"/>
      <c r="I53" s="149"/>
      <c r="J53" s="149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  <c r="Z53" s="147"/>
      <c r="AA53" s="147"/>
      <c r="AB53" s="147"/>
    </row>
    <row r="54" spans="1:28" s="1" customFormat="1" ht="13.5" customHeight="1">
      <c r="A54" s="147"/>
      <c r="B54" s="148"/>
      <c r="C54" s="148"/>
      <c r="D54" s="148"/>
      <c r="E54" s="148"/>
      <c r="F54" s="148"/>
      <c r="G54" s="148"/>
      <c r="H54" s="148"/>
      <c r="I54" s="149"/>
      <c r="J54" s="149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</row>
    <row r="55" spans="1:28" s="1" customFormat="1" ht="13.5" customHeight="1">
      <c r="A55" s="147"/>
      <c r="B55" s="148"/>
      <c r="C55" s="148"/>
      <c r="D55" s="148"/>
      <c r="E55" s="148"/>
      <c r="F55" s="148"/>
      <c r="G55" s="148"/>
      <c r="H55" s="148"/>
      <c r="I55" s="149"/>
      <c r="J55" s="149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  <c r="AB55" s="147"/>
    </row>
    <row r="56" spans="1:28" s="1" customFormat="1" ht="14.25" customHeight="1">
      <c r="A56" s="147"/>
      <c r="B56" s="148"/>
      <c r="C56" s="148"/>
      <c r="D56" s="148"/>
      <c r="E56" s="148"/>
      <c r="F56" s="148"/>
      <c r="G56" s="148"/>
      <c r="H56" s="148"/>
      <c r="I56" s="149"/>
      <c r="J56" s="149"/>
      <c r="K56" s="147"/>
      <c r="L56" s="147"/>
      <c r="M56" s="147"/>
      <c r="N56" s="147"/>
      <c r="O56" s="147"/>
      <c r="P56" s="147"/>
      <c r="Q56" s="147"/>
      <c r="R56" s="147"/>
      <c r="S56" s="147"/>
      <c r="T56" s="147"/>
      <c r="U56" s="147"/>
      <c r="V56" s="147"/>
      <c r="W56" s="147"/>
      <c r="X56" s="147"/>
      <c r="Y56" s="147"/>
      <c r="Z56" s="147"/>
      <c r="AA56" s="147"/>
      <c r="AB56" s="147"/>
    </row>
    <row r="57" spans="1:28" s="1" customFormat="1" ht="13.5" customHeight="1" thickBot="1">
      <c r="A57" s="147"/>
      <c r="B57" s="148"/>
      <c r="C57" s="148"/>
      <c r="D57" s="148"/>
      <c r="E57" s="148"/>
      <c r="F57" s="148"/>
      <c r="G57" s="148"/>
      <c r="H57" s="148"/>
      <c r="I57" s="149"/>
      <c r="J57" s="149"/>
      <c r="K57" s="147"/>
      <c r="L57" s="147"/>
      <c r="M57" s="147"/>
      <c r="N57" s="147"/>
      <c r="O57" s="147"/>
      <c r="P57" s="147"/>
      <c r="Q57" s="147"/>
      <c r="R57" s="147"/>
      <c r="S57" s="147"/>
      <c r="T57" s="147"/>
      <c r="U57" s="147"/>
      <c r="V57" s="147"/>
      <c r="W57" s="147"/>
      <c r="X57" s="147"/>
      <c r="Y57" s="147"/>
      <c r="Z57" s="147"/>
      <c r="AA57" s="147"/>
      <c r="AB57" s="147"/>
    </row>
    <row r="58" spans="1:28" s="1" customFormat="1" ht="59.25" customHeight="1" thickTop="1" thickBot="1">
      <c r="A58" s="147"/>
      <c r="B58" s="338"/>
      <c r="C58" s="339"/>
      <c r="D58" s="339"/>
      <c r="E58" s="339"/>
      <c r="F58" s="478" t="s">
        <v>88</v>
      </c>
      <c r="G58" s="479"/>
      <c r="H58" s="479"/>
      <c r="I58" s="479"/>
      <c r="J58" s="185" t="s">
        <v>128</v>
      </c>
      <c r="K58" s="340" t="s">
        <v>89</v>
      </c>
      <c r="L58" s="340"/>
      <c r="M58" s="340"/>
      <c r="N58" s="340"/>
      <c r="O58" s="340"/>
      <c r="P58" s="341" t="s">
        <v>90</v>
      </c>
      <c r="Q58" s="341"/>
      <c r="R58" s="341"/>
      <c r="S58" s="341"/>
      <c r="T58" s="341"/>
      <c r="U58" s="342" t="s">
        <v>91</v>
      </c>
      <c r="V58" s="342"/>
      <c r="W58" s="342"/>
      <c r="X58" s="342"/>
      <c r="Y58" s="342"/>
      <c r="Z58" s="343"/>
      <c r="AA58" s="209" t="s">
        <v>139</v>
      </c>
      <c r="AB58" s="211"/>
    </row>
    <row r="59" spans="1:28" s="1" customFormat="1" ht="60" customHeight="1" thickBot="1">
      <c r="A59" s="147"/>
      <c r="B59" s="344" t="s">
        <v>92</v>
      </c>
      <c r="C59" s="345"/>
      <c r="D59" s="345"/>
      <c r="E59" s="345"/>
      <c r="F59" s="352"/>
      <c r="G59" s="353"/>
      <c r="H59" s="353"/>
      <c r="I59" s="353"/>
      <c r="J59" s="186"/>
      <c r="K59" s="346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7"/>
      <c r="AA59" s="147"/>
      <c r="AB59" s="217" t="b">
        <v>0</v>
      </c>
    </row>
    <row r="60" spans="1:28" s="1" customFormat="1" ht="60" customHeight="1" thickBot="1">
      <c r="A60" s="147"/>
      <c r="B60" s="344" t="s">
        <v>93</v>
      </c>
      <c r="C60" s="345"/>
      <c r="D60" s="345"/>
      <c r="E60" s="345"/>
      <c r="F60" s="352"/>
      <c r="G60" s="353"/>
      <c r="H60" s="353"/>
      <c r="I60" s="353"/>
      <c r="J60" s="186"/>
      <c r="K60" s="348"/>
      <c r="L60" s="349"/>
      <c r="M60" s="349"/>
      <c r="N60" s="349"/>
      <c r="O60" s="350"/>
      <c r="P60" s="346"/>
      <c r="Q60" s="346"/>
      <c r="R60" s="346"/>
      <c r="S60" s="346"/>
      <c r="T60" s="346"/>
      <c r="U60" s="348"/>
      <c r="V60" s="349"/>
      <c r="W60" s="349"/>
      <c r="X60" s="349"/>
      <c r="Y60" s="349"/>
      <c r="Z60" s="351"/>
      <c r="AA60" s="147"/>
      <c r="AB60" s="217" t="b">
        <v>0</v>
      </c>
    </row>
    <row r="61" spans="1:28" s="1" customFormat="1" ht="60" customHeight="1" thickBot="1">
      <c r="A61" s="147"/>
      <c r="B61" s="344" t="s">
        <v>94</v>
      </c>
      <c r="C61" s="345"/>
      <c r="D61" s="345"/>
      <c r="E61" s="345"/>
      <c r="F61" s="352"/>
      <c r="G61" s="353"/>
      <c r="H61" s="353"/>
      <c r="I61" s="353"/>
      <c r="J61" s="186"/>
      <c r="K61" s="348"/>
      <c r="L61" s="349"/>
      <c r="M61" s="349"/>
      <c r="N61" s="349"/>
      <c r="O61" s="350"/>
      <c r="P61" s="346"/>
      <c r="Q61" s="346"/>
      <c r="R61" s="346"/>
      <c r="S61" s="346"/>
      <c r="T61" s="346"/>
      <c r="U61" s="346"/>
      <c r="V61" s="346"/>
      <c r="W61" s="346"/>
      <c r="X61" s="346"/>
      <c r="Y61" s="346"/>
      <c r="Z61" s="347"/>
      <c r="AA61" s="147"/>
      <c r="AB61" s="217" t="b">
        <v>0</v>
      </c>
    </row>
    <row r="62" spans="1:28" s="1" customFormat="1" ht="60" customHeight="1" thickBot="1">
      <c r="A62" s="147"/>
      <c r="B62" s="344" t="s">
        <v>95</v>
      </c>
      <c r="C62" s="345"/>
      <c r="D62" s="345"/>
      <c r="E62" s="345"/>
      <c r="F62" s="352"/>
      <c r="G62" s="353"/>
      <c r="H62" s="353"/>
      <c r="I62" s="358"/>
      <c r="J62" s="186"/>
      <c r="K62" s="346"/>
      <c r="L62" s="346"/>
      <c r="M62" s="346"/>
      <c r="N62" s="346"/>
      <c r="O62" s="346"/>
      <c r="P62" s="346"/>
      <c r="Q62" s="346"/>
      <c r="R62" s="346"/>
      <c r="S62" s="346"/>
      <c r="T62" s="346"/>
      <c r="U62" s="346"/>
      <c r="V62" s="346"/>
      <c r="W62" s="346"/>
      <c r="X62" s="346"/>
      <c r="Y62" s="346"/>
      <c r="Z62" s="347"/>
      <c r="AA62" s="147"/>
      <c r="AB62" s="217" t="b">
        <v>0</v>
      </c>
    </row>
    <row r="63" spans="1:28" s="1" customFormat="1" ht="60" customHeight="1" thickBot="1">
      <c r="A63" s="147"/>
      <c r="B63" s="354" t="s">
        <v>96</v>
      </c>
      <c r="C63" s="355"/>
      <c r="D63" s="355"/>
      <c r="E63" s="355"/>
      <c r="F63" s="359"/>
      <c r="G63" s="360"/>
      <c r="H63" s="360"/>
      <c r="I63" s="361"/>
      <c r="J63" s="186"/>
      <c r="K63" s="356"/>
      <c r="L63" s="356"/>
      <c r="M63" s="356"/>
      <c r="N63" s="356"/>
      <c r="O63" s="356"/>
      <c r="P63" s="356"/>
      <c r="Q63" s="356"/>
      <c r="R63" s="356"/>
      <c r="S63" s="356"/>
      <c r="T63" s="356"/>
      <c r="U63" s="356"/>
      <c r="V63" s="356"/>
      <c r="W63" s="356"/>
      <c r="X63" s="356"/>
      <c r="Y63" s="356"/>
      <c r="Z63" s="357"/>
      <c r="AA63" s="147"/>
      <c r="AB63" s="217" t="b">
        <v>0</v>
      </c>
    </row>
    <row r="64" spans="1:28" s="153" customFormat="1" ht="23.25" customHeight="1" thickTop="1">
      <c r="A64" s="147"/>
      <c r="B64" s="150"/>
      <c r="C64" s="151"/>
      <c r="D64" s="151"/>
      <c r="E64" s="152"/>
      <c r="F64" s="152"/>
      <c r="G64" s="152"/>
      <c r="H64" s="152"/>
      <c r="I64" s="152"/>
      <c r="J64" s="188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7"/>
      <c r="Z64" s="147"/>
      <c r="AA64" s="147"/>
      <c r="AB64" s="147"/>
    </row>
    <row r="65" spans="1:28" s="153" customFormat="1" ht="92.25" customHeight="1">
      <c r="A65" s="147"/>
      <c r="B65" s="150"/>
      <c r="C65" s="151"/>
      <c r="D65" s="151"/>
      <c r="E65" s="152"/>
      <c r="F65" s="152"/>
      <c r="G65" s="152"/>
      <c r="H65" s="152"/>
      <c r="I65" s="152"/>
      <c r="J65" s="152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7"/>
      <c r="Z65" s="147"/>
      <c r="AA65" s="147"/>
      <c r="AB65" s="210"/>
    </row>
    <row r="66" spans="1:28" s="153" customFormat="1" ht="75" customHeight="1" thickBot="1">
      <c r="A66" s="147"/>
      <c r="B66" s="154" t="s">
        <v>97</v>
      </c>
      <c r="C66" s="151"/>
      <c r="D66" s="151"/>
      <c r="E66" s="152"/>
      <c r="F66" s="152"/>
      <c r="G66" s="152"/>
      <c r="H66" s="152"/>
      <c r="I66" s="152"/>
      <c r="J66" s="152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7"/>
      <c r="Z66" s="147"/>
      <c r="AA66" s="147"/>
      <c r="AB66" s="210"/>
    </row>
    <row r="67" spans="1:28" ht="16.5" customHeight="1" thickBot="1">
      <c r="A67" s="155"/>
      <c r="B67" s="156"/>
      <c r="C67" s="364" t="s">
        <v>144</v>
      </c>
      <c r="D67" s="364"/>
      <c r="E67" s="364"/>
      <c r="F67" s="364"/>
      <c r="G67" s="364"/>
      <c r="H67" s="364"/>
      <c r="I67" s="364"/>
      <c r="J67" s="364"/>
      <c r="K67" s="364"/>
      <c r="L67" s="364"/>
      <c r="M67" s="364"/>
      <c r="N67" s="364"/>
      <c r="O67" s="364"/>
      <c r="P67" s="364"/>
      <c r="Q67" s="364"/>
      <c r="R67" s="157"/>
      <c r="S67" s="156"/>
      <c r="T67" s="156"/>
      <c r="U67" s="365" t="s">
        <v>98</v>
      </c>
      <c r="V67" s="366"/>
      <c r="W67" s="367"/>
      <c r="X67" s="368"/>
      <c r="Y67" s="158"/>
      <c r="Z67" s="172"/>
      <c r="AA67" s="172"/>
      <c r="AB67" s="155"/>
    </row>
    <row r="68" spans="1:28" ht="16.5" customHeight="1" thickBot="1">
      <c r="A68" s="155"/>
      <c r="B68" s="156"/>
      <c r="C68" s="364"/>
      <c r="D68" s="364"/>
      <c r="E68" s="364"/>
      <c r="F68" s="364"/>
      <c r="G68" s="364"/>
      <c r="H68" s="364"/>
      <c r="I68" s="364"/>
      <c r="J68" s="364"/>
      <c r="K68" s="364"/>
      <c r="L68" s="364"/>
      <c r="M68" s="364"/>
      <c r="N68" s="364"/>
      <c r="O68" s="364"/>
      <c r="P68" s="364"/>
      <c r="Q68" s="364"/>
      <c r="R68" s="157"/>
      <c r="S68" s="156"/>
      <c r="T68" s="156"/>
      <c r="U68" s="369">
        <f ca="1">TODAY()</f>
        <v>46099</v>
      </c>
      <c r="V68" s="370"/>
      <c r="W68" s="370"/>
      <c r="X68" s="371"/>
      <c r="Y68" s="160"/>
      <c r="Z68" s="172"/>
      <c r="AA68" s="172"/>
      <c r="AB68" s="155"/>
    </row>
    <row r="69" spans="1:28" ht="11.25" customHeight="1">
      <c r="A69" s="155"/>
      <c r="B69" s="372" t="s">
        <v>99</v>
      </c>
      <c r="C69" s="373" t="s">
        <v>100</v>
      </c>
      <c r="D69" s="373"/>
      <c r="E69" s="373"/>
      <c r="F69" s="373"/>
      <c r="Y69" s="161"/>
      <c r="Z69" s="172"/>
      <c r="AA69" s="172"/>
      <c r="AB69" s="155"/>
    </row>
    <row r="70" spans="1:28" ht="9" customHeight="1" thickBot="1">
      <c r="A70" s="155"/>
      <c r="B70" s="372"/>
      <c r="C70" s="374"/>
      <c r="D70" s="374"/>
      <c r="E70" s="375"/>
      <c r="F70" s="375"/>
      <c r="Y70" s="161"/>
      <c r="Z70" s="172"/>
      <c r="AA70" s="172"/>
      <c r="AB70" s="155"/>
    </row>
    <row r="71" spans="1:28" ht="23.25" customHeight="1">
      <c r="A71" s="155"/>
      <c r="C71" s="305"/>
      <c r="D71" s="306"/>
      <c r="E71" s="376" t="s">
        <v>88</v>
      </c>
      <c r="F71" s="377"/>
      <c r="G71" s="380" t="s">
        <v>101</v>
      </c>
      <c r="H71" s="306"/>
      <c r="I71" s="380" t="s">
        <v>102</v>
      </c>
      <c r="J71" s="306"/>
      <c r="K71" s="382" t="s">
        <v>103</v>
      </c>
      <c r="L71" s="383"/>
      <c r="M71" s="380" t="s">
        <v>104</v>
      </c>
      <c r="N71" s="306"/>
      <c r="O71" s="398" t="s">
        <v>105</v>
      </c>
      <c r="P71" s="398"/>
      <c r="Q71" s="389" t="s">
        <v>106</v>
      </c>
      <c r="R71" s="389"/>
      <c r="S71" s="380" t="s">
        <v>107</v>
      </c>
      <c r="T71" s="391"/>
      <c r="U71" s="393" t="s">
        <v>108</v>
      </c>
      <c r="V71" s="394"/>
      <c r="W71" s="362" t="s">
        <v>109</v>
      </c>
      <c r="X71" s="362"/>
      <c r="Y71" s="161"/>
      <c r="Z71" s="334" t="s">
        <v>127</v>
      </c>
      <c r="AA71" s="335"/>
      <c r="AB71" s="155"/>
    </row>
    <row r="72" spans="1:28" ht="20.25" customHeight="1" thickBot="1">
      <c r="A72" s="155"/>
      <c r="C72" s="309"/>
      <c r="D72" s="310"/>
      <c r="E72" s="378"/>
      <c r="F72" s="379"/>
      <c r="G72" s="381"/>
      <c r="H72" s="310"/>
      <c r="I72" s="381"/>
      <c r="J72" s="310"/>
      <c r="K72" s="384" t="s">
        <v>110</v>
      </c>
      <c r="L72" s="385"/>
      <c r="M72" s="381"/>
      <c r="N72" s="310"/>
      <c r="O72" s="386" t="s">
        <v>111</v>
      </c>
      <c r="P72" s="386"/>
      <c r="Q72" s="390"/>
      <c r="R72" s="390"/>
      <c r="S72" s="381"/>
      <c r="T72" s="392"/>
      <c r="U72" s="387" t="s">
        <v>112</v>
      </c>
      <c r="V72" s="388"/>
      <c r="W72" s="363"/>
      <c r="X72" s="363"/>
      <c r="Y72" s="161"/>
      <c r="Z72" s="336"/>
      <c r="AA72" s="337"/>
      <c r="AB72" s="155"/>
    </row>
    <row r="73" spans="1:28" ht="20.25" customHeight="1" thickBot="1">
      <c r="A73" s="155"/>
      <c r="C73" s="395" t="s">
        <v>92</v>
      </c>
      <c r="D73" s="377"/>
      <c r="E73" s="396" t="str">
        <f>IF(税額計算!G10=0,"",税額計算!G10)</f>
        <v/>
      </c>
      <c r="F73" s="396"/>
      <c r="G73" s="397">
        <f>税額計算!G16</f>
        <v>0</v>
      </c>
      <c r="H73" s="397"/>
      <c r="I73" s="397">
        <f>税額計算!G40</f>
        <v>0</v>
      </c>
      <c r="J73" s="397"/>
      <c r="K73" s="397">
        <f>税額計算!G65</f>
        <v>0</v>
      </c>
      <c r="L73" s="397"/>
      <c r="M73" s="397">
        <f>税額計算!G68</f>
        <v>0</v>
      </c>
      <c r="N73" s="397"/>
      <c r="O73" s="397">
        <f>税額計算!G85</f>
        <v>0</v>
      </c>
      <c r="P73" s="397"/>
      <c r="Q73" s="397">
        <f>税額計算!G71</f>
        <v>0</v>
      </c>
      <c r="R73" s="397"/>
      <c r="S73" s="399">
        <f>税額計算!G131</f>
        <v>0</v>
      </c>
      <c r="T73" s="399"/>
      <c r="U73" s="400">
        <f>税額計算!G132</f>
        <v>0</v>
      </c>
      <c r="V73" s="400"/>
      <c r="W73" s="401" t="str">
        <f>税額計算!J79</f>
        <v>7割軽減</v>
      </c>
      <c r="X73" s="401"/>
      <c r="Y73" s="161"/>
      <c r="Z73" s="333" t="str">
        <f>IF(AB59=TRUE,"未就学児軽減あり","―")</f>
        <v>―</v>
      </c>
      <c r="AA73" s="333"/>
      <c r="AB73" s="155"/>
    </row>
    <row r="74" spans="1:28" ht="20.25" customHeight="1" thickBot="1">
      <c r="A74" s="155"/>
      <c r="C74" s="402" t="str">
        <f>IF(LEN(F60)=0,"","世帯員①")</f>
        <v/>
      </c>
      <c r="D74" s="403"/>
      <c r="E74" s="404" t="str">
        <f>IF(税額計算!H10=0,"",税額計算!H10)</f>
        <v/>
      </c>
      <c r="F74" s="405"/>
      <c r="G74" s="406" t="str">
        <f>IF(E74="","",税額計算!H16)</f>
        <v/>
      </c>
      <c r="H74" s="406"/>
      <c r="I74" s="406" t="str">
        <f>IF(E74="","",税額計算!H40)</f>
        <v/>
      </c>
      <c r="J74" s="406"/>
      <c r="K74" s="406" t="str">
        <f>IF(E74="","",税額計算!H65)</f>
        <v/>
      </c>
      <c r="L74" s="406"/>
      <c r="M74" s="406" t="str">
        <f>IF(E74="","",税額計算!H68)</f>
        <v/>
      </c>
      <c r="N74" s="406"/>
      <c r="O74" s="406" t="str">
        <f>IF(E74="","",税額計算!H85)</f>
        <v/>
      </c>
      <c r="P74" s="406"/>
      <c r="Q74" s="406" t="str">
        <f>IF(E74="","",税額計算!H71)</f>
        <v/>
      </c>
      <c r="R74" s="406"/>
      <c r="S74" s="407" t="str">
        <f>IF(E74="","",税額計算!H131)</f>
        <v/>
      </c>
      <c r="T74" s="407"/>
      <c r="U74" s="400"/>
      <c r="V74" s="400"/>
      <c r="W74" s="401"/>
      <c r="X74" s="401"/>
      <c r="Y74" s="161"/>
      <c r="Z74" s="333" t="str">
        <f>IF(AB60=TRUE,"未就学児軽減あり","―")</f>
        <v>―</v>
      </c>
      <c r="AA74" s="333"/>
      <c r="AB74" s="155"/>
    </row>
    <row r="75" spans="1:28" ht="20.25" customHeight="1" thickBot="1">
      <c r="A75" s="155"/>
      <c r="C75" s="402" t="str">
        <f>IF(LEN(F61)=0,"","世帯員②")</f>
        <v/>
      </c>
      <c r="D75" s="403"/>
      <c r="E75" s="408" t="str">
        <f>IF(税額計算!I10=0,"",税額計算!I10)</f>
        <v/>
      </c>
      <c r="F75" s="408"/>
      <c r="G75" s="406" t="str">
        <f>IF(E75="","",税額計算!I16)</f>
        <v/>
      </c>
      <c r="H75" s="406"/>
      <c r="I75" s="406" t="str">
        <f>IF(E75="","",税額計算!I40)</f>
        <v/>
      </c>
      <c r="J75" s="406"/>
      <c r="K75" s="406" t="str">
        <f>IF(E75="","",税額計算!I65)</f>
        <v/>
      </c>
      <c r="L75" s="406"/>
      <c r="M75" s="406" t="str">
        <f>IF(E75="","",税額計算!I68)</f>
        <v/>
      </c>
      <c r="N75" s="406"/>
      <c r="O75" s="406" t="str">
        <f>IF(E75="","",税額計算!I85)</f>
        <v/>
      </c>
      <c r="P75" s="406"/>
      <c r="Q75" s="406" t="str">
        <f>IF(E75="","",税額計算!I71)</f>
        <v/>
      </c>
      <c r="R75" s="406"/>
      <c r="S75" s="407" t="str">
        <f>IF(E75="","",税額計算!I131)</f>
        <v/>
      </c>
      <c r="T75" s="407"/>
      <c r="U75" s="400"/>
      <c r="V75" s="400"/>
      <c r="W75" s="401"/>
      <c r="X75" s="401"/>
      <c r="Y75" s="161"/>
      <c r="Z75" s="333" t="str">
        <f>IF(AB61=TRUE,"未就学児軽減あり","―")</f>
        <v>―</v>
      </c>
      <c r="AA75" s="333"/>
      <c r="AB75" s="155"/>
    </row>
    <row r="76" spans="1:28" ht="20.25" customHeight="1" thickBot="1">
      <c r="A76" s="155"/>
      <c r="C76" s="402" t="str">
        <f>IF(LEN(F62)=0,"","世帯員③")</f>
        <v/>
      </c>
      <c r="D76" s="403"/>
      <c r="E76" s="408" t="str">
        <f>IF(税額計算!J10=0,"",税額計算!J10)</f>
        <v/>
      </c>
      <c r="F76" s="408"/>
      <c r="G76" s="406" t="str">
        <f>IF(E76="","",税額計算!J16)</f>
        <v/>
      </c>
      <c r="H76" s="406"/>
      <c r="I76" s="406" t="str">
        <f>IF(E76="","",税額計算!J40)</f>
        <v/>
      </c>
      <c r="J76" s="406"/>
      <c r="K76" s="406" t="str">
        <f>IF(E76="","",税額計算!J65)</f>
        <v/>
      </c>
      <c r="L76" s="406"/>
      <c r="M76" s="406" t="str">
        <f>IF(E76="","",税額計算!J68)</f>
        <v/>
      </c>
      <c r="N76" s="406"/>
      <c r="O76" s="406" t="str">
        <f>IF(E76="","",税額計算!J85)</f>
        <v/>
      </c>
      <c r="P76" s="406"/>
      <c r="Q76" s="406" t="str">
        <f>IF(E76="","",税額計算!J71)</f>
        <v/>
      </c>
      <c r="R76" s="406"/>
      <c r="S76" s="407" t="str">
        <f>IF(E76="","",税額計算!J131)</f>
        <v/>
      </c>
      <c r="T76" s="407"/>
      <c r="U76" s="400"/>
      <c r="V76" s="400"/>
      <c r="W76" s="401"/>
      <c r="X76" s="401"/>
      <c r="Y76" s="161"/>
      <c r="Z76" s="333" t="str">
        <f>IF(AB62=TRUE,"未就学児軽減あり","―")</f>
        <v>―</v>
      </c>
      <c r="AA76" s="333"/>
      <c r="AB76" s="155"/>
    </row>
    <row r="77" spans="1:28" ht="20.25" customHeight="1" thickBot="1">
      <c r="A77" s="155"/>
      <c r="C77" s="409" t="str">
        <f>IF(LEN(F63)=0,"","世帯員④")</f>
        <v/>
      </c>
      <c r="D77" s="379"/>
      <c r="E77" s="410" t="str">
        <f>IF(税額計算!K10=0,"",税額計算!K10)</f>
        <v/>
      </c>
      <c r="F77" s="410"/>
      <c r="G77" s="411" t="str">
        <f>IF(E77="","",税額計算!K16)</f>
        <v/>
      </c>
      <c r="H77" s="411"/>
      <c r="I77" s="411" t="str">
        <f>IF(E77="","",税額計算!K40)</f>
        <v/>
      </c>
      <c r="J77" s="411"/>
      <c r="K77" s="411" t="str">
        <f>IF(E77="","",税額計算!K65)</f>
        <v/>
      </c>
      <c r="L77" s="411"/>
      <c r="M77" s="411" t="str">
        <f>IF(E77="","",税額計算!K68)</f>
        <v/>
      </c>
      <c r="N77" s="411"/>
      <c r="O77" s="411" t="str">
        <f>IF(E77="","",税額計算!K85)</f>
        <v/>
      </c>
      <c r="P77" s="411"/>
      <c r="Q77" s="411" t="str">
        <f>IF(E77="","",税額計算!K71)</f>
        <v/>
      </c>
      <c r="R77" s="411"/>
      <c r="S77" s="412" t="str">
        <f>IF(E77="","",税額計算!K131)</f>
        <v/>
      </c>
      <c r="T77" s="412"/>
      <c r="U77" s="400"/>
      <c r="V77" s="400"/>
      <c r="W77" s="401"/>
      <c r="X77" s="401"/>
      <c r="Y77" s="161"/>
      <c r="Z77" s="333" t="str">
        <f>IF(AB63=TRUE,"未就学児軽減あり","―")</f>
        <v>―</v>
      </c>
      <c r="AA77" s="333"/>
      <c r="AB77" s="155"/>
    </row>
    <row r="78" spans="1:28" ht="21" customHeight="1">
      <c r="A78" s="155"/>
      <c r="B78" s="413" t="s">
        <v>113</v>
      </c>
      <c r="C78" s="414" t="s">
        <v>114</v>
      </c>
      <c r="D78" s="414"/>
      <c r="E78" s="375"/>
      <c r="F78" s="375"/>
      <c r="O78" s="415" t="s">
        <v>115</v>
      </c>
      <c r="P78" s="417" t="s">
        <v>116</v>
      </c>
      <c r="Q78" s="417"/>
      <c r="R78" s="417"/>
      <c r="S78" s="417"/>
      <c r="T78" s="162"/>
      <c r="U78" s="162"/>
      <c r="V78" s="162"/>
      <c r="W78" s="162"/>
      <c r="X78" s="162"/>
      <c r="Y78" s="163"/>
      <c r="Z78" s="167"/>
      <c r="AA78" s="167"/>
      <c r="AB78" s="155"/>
    </row>
    <row r="79" spans="1:28" ht="4.5" customHeight="1" thickBot="1">
      <c r="A79" s="155"/>
      <c r="B79" s="413"/>
      <c r="C79" s="375"/>
      <c r="D79" s="375"/>
      <c r="E79" s="375"/>
      <c r="F79" s="375"/>
      <c r="O79" s="416"/>
      <c r="P79" s="418"/>
      <c r="Q79" s="418"/>
      <c r="R79" s="418"/>
      <c r="S79" s="418"/>
      <c r="Y79" s="163"/>
      <c r="Z79" s="167"/>
      <c r="AA79" s="167"/>
      <c r="AB79" s="155"/>
    </row>
    <row r="80" spans="1:28" ht="20.25" customHeight="1" thickTop="1">
      <c r="A80" s="155"/>
      <c r="C80" s="419" t="s">
        <v>118</v>
      </c>
      <c r="D80" s="420"/>
      <c r="E80" s="421"/>
      <c r="F80" s="425">
        <f>税額計算!G134</f>
        <v>0</v>
      </c>
      <c r="G80" s="426"/>
      <c r="H80" s="426"/>
      <c r="I80" s="427"/>
      <c r="J80" s="431" t="s">
        <v>119</v>
      </c>
      <c r="K80" s="432"/>
      <c r="L80" s="435">
        <f>F80/12</f>
        <v>0</v>
      </c>
      <c r="M80" s="436"/>
      <c r="N80" s="437"/>
      <c r="P80" s="305"/>
      <c r="Q80" s="306"/>
      <c r="R80" s="380" t="s">
        <v>120</v>
      </c>
      <c r="S80" s="321"/>
      <c r="T80" s="321"/>
      <c r="U80" s="391"/>
      <c r="V80" s="445" t="s">
        <v>8</v>
      </c>
      <c r="W80" s="321"/>
      <c r="X80" s="446"/>
      <c r="Y80" s="161"/>
      <c r="Z80" s="172"/>
      <c r="AA80" s="172"/>
      <c r="AB80" s="155"/>
    </row>
    <row r="81" spans="1:28" ht="13.5" customHeight="1" thickBot="1">
      <c r="A81" s="155"/>
      <c r="C81" s="422"/>
      <c r="D81" s="423"/>
      <c r="E81" s="424"/>
      <c r="F81" s="428"/>
      <c r="G81" s="429"/>
      <c r="H81" s="429"/>
      <c r="I81" s="430"/>
      <c r="J81" s="433"/>
      <c r="K81" s="434"/>
      <c r="L81" s="438"/>
      <c r="M81" s="439"/>
      <c r="N81" s="440"/>
      <c r="P81" s="309"/>
      <c r="Q81" s="310"/>
      <c r="R81" s="381"/>
      <c r="S81" s="323"/>
      <c r="T81" s="323"/>
      <c r="U81" s="392"/>
      <c r="V81" s="447"/>
      <c r="W81" s="323"/>
      <c r="X81" s="448"/>
      <c r="Y81" s="161"/>
      <c r="Z81" s="172"/>
      <c r="AA81" s="172"/>
      <c r="AB81" s="155"/>
    </row>
    <row r="82" spans="1:28" ht="20.25" customHeight="1" thickTop="1">
      <c r="A82" s="155"/>
      <c r="D82" s="164"/>
      <c r="F82" s="164"/>
      <c r="G82" s="164"/>
      <c r="H82" s="164"/>
      <c r="I82" s="164"/>
      <c r="J82" s="164"/>
      <c r="K82" s="164"/>
      <c r="L82" s="164"/>
      <c r="M82" s="165"/>
      <c r="N82" s="162"/>
      <c r="P82" s="305" t="str">
        <f>C73</f>
        <v>世帯主</v>
      </c>
      <c r="Q82" s="306"/>
      <c r="R82" s="449" t="s">
        <v>9</v>
      </c>
      <c r="S82" s="450"/>
      <c r="T82" s="451">
        <f>税額計算!G88</f>
        <v>0</v>
      </c>
      <c r="U82" s="452"/>
      <c r="V82" s="311">
        <f>税額計算!G131</f>
        <v>0</v>
      </c>
      <c r="W82" s="312"/>
      <c r="X82" s="313"/>
      <c r="Y82" s="161"/>
      <c r="Z82" s="172"/>
      <c r="AA82" s="172"/>
      <c r="AB82" s="155"/>
    </row>
    <row r="83" spans="1:28" ht="20.25" customHeight="1" thickBot="1">
      <c r="A83" s="155"/>
      <c r="C83" s="164"/>
      <c r="D83" s="170" t="s">
        <v>121</v>
      </c>
      <c r="E83" s="164" t="s">
        <v>122</v>
      </c>
      <c r="F83" s="164"/>
      <c r="G83" s="164"/>
      <c r="H83" s="164"/>
      <c r="I83" s="164"/>
      <c r="J83" s="164"/>
      <c r="K83" s="164"/>
      <c r="L83" s="164"/>
      <c r="M83" s="165"/>
      <c r="N83" s="162"/>
      <c r="P83" s="307"/>
      <c r="Q83" s="308"/>
      <c r="R83" s="453" t="s">
        <v>10</v>
      </c>
      <c r="S83" s="454"/>
      <c r="T83" s="455">
        <f>税額計算!G99</f>
        <v>0</v>
      </c>
      <c r="U83" s="456"/>
      <c r="V83" s="314"/>
      <c r="W83" s="315"/>
      <c r="X83" s="316"/>
      <c r="Y83" s="166"/>
      <c r="Z83" s="172"/>
      <c r="AA83" s="172"/>
      <c r="AB83" s="155"/>
    </row>
    <row r="84" spans="1:28" ht="20.25" customHeight="1" thickBot="1">
      <c r="A84" s="155"/>
      <c r="C84" s="167"/>
      <c r="D84" s="162"/>
      <c r="E84" s="328" t="s">
        <v>123</v>
      </c>
      <c r="F84" s="329"/>
      <c r="G84" s="330" t="s">
        <v>124</v>
      </c>
      <c r="H84" s="331"/>
      <c r="I84" s="332"/>
      <c r="J84" s="328" t="s">
        <v>123</v>
      </c>
      <c r="K84" s="329"/>
      <c r="L84" s="330" t="s">
        <v>124</v>
      </c>
      <c r="M84" s="331"/>
      <c r="N84" s="332"/>
      <c r="P84" s="307"/>
      <c r="Q84" s="308"/>
      <c r="R84" s="441" t="s">
        <v>11</v>
      </c>
      <c r="S84" s="442"/>
      <c r="T84" s="443">
        <f>税額計算!G110</f>
        <v>0</v>
      </c>
      <c r="U84" s="444"/>
      <c r="V84" s="314"/>
      <c r="W84" s="315"/>
      <c r="X84" s="316"/>
      <c r="Y84" s="166"/>
      <c r="Z84" s="172"/>
      <c r="AA84" s="172"/>
      <c r="AB84" s="155"/>
    </row>
    <row r="85" spans="1:28" ht="20.25" customHeight="1" thickBot="1">
      <c r="A85" s="155"/>
      <c r="C85" s="167"/>
      <c r="D85" s="162"/>
      <c r="E85" s="465">
        <v>1</v>
      </c>
      <c r="F85" s="466"/>
      <c r="G85" s="467">
        <f t="shared" ref="G85:G90" si="0">$L$80*E85</f>
        <v>0</v>
      </c>
      <c r="H85" s="468"/>
      <c r="I85" s="469"/>
      <c r="J85" s="465">
        <v>7</v>
      </c>
      <c r="K85" s="466"/>
      <c r="L85" s="467">
        <f t="shared" ref="L85:L90" si="1">$L$80*J85</f>
        <v>0</v>
      </c>
      <c r="M85" s="468"/>
      <c r="N85" s="469"/>
      <c r="P85" s="309"/>
      <c r="Q85" s="310"/>
      <c r="R85" s="320" t="s">
        <v>145</v>
      </c>
      <c r="S85" s="320"/>
      <c r="T85" s="326">
        <f>税額計算!G121</f>
        <v>0</v>
      </c>
      <c r="U85" s="327"/>
      <c r="V85" s="317"/>
      <c r="W85" s="318"/>
      <c r="X85" s="319"/>
      <c r="Y85" s="161"/>
      <c r="Z85" s="172"/>
      <c r="AA85" s="172"/>
      <c r="AB85" s="155"/>
    </row>
    <row r="86" spans="1:28" ht="20.25" customHeight="1">
      <c r="A86" s="155"/>
      <c r="C86" s="167"/>
      <c r="D86" s="162"/>
      <c r="E86" s="457">
        <v>2</v>
      </c>
      <c r="F86" s="458"/>
      <c r="G86" s="459">
        <f t="shared" si="0"/>
        <v>0</v>
      </c>
      <c r="H86" s="460"/>
      <c r="I86" s="461"/>
      <c r="J86" s="457">
        <v>8</v>
      </c>
      <c r="K86" s="458"/>
      <c r="L86" s="459">
        <f t="shared" si="1"/>
        <v>0</v>
      </c>
      <c r="M86" s="460"/>
      <c r="N86" s="461"/>
      <c r="P86" s="305" t="str">
        <f>C74</f>
        <v/>
      </c>
      <c r="Q86" s="306"/>
      <c r="R86" s="449" t="s">
        <v>9</v>
      </c>
      <c r="S86" s="450"/>
      <c r="T86" s="451">
        <f>税額計算!H88</f>
        <v>0</v>
      </c>
      <c r="U86" s="452"/>
      <c r="V86" s="311">
        <f>税額計算!H131</f>
        <v>0</v>
      </c>
      <c r="W86" s="312"/>
      <c r="X86" s="313"/>
      <c r="Y86" s="161"/>
      <c r="Z86" s="172"/>
      <c r="AA86" s="172"/>
      <c r="AB86" s="155"/>
    </row>
    <row r="87" spans="1:28" ht="20.25" customHeight="1">
      <c r="A87" s="155"/>
      <c r="C87" s="167"/>
      <c r="D87" s="162"/>
      <c r="E87" s="457">
        <v>3</v>
      </c>
      <c r="F87" s="458"/>
      <c r="G87" s="459">
        <f t="shared" si="0"/>
        <v>0</v>
      </c>
      <c r="H87" s="460"/>
      <c r="I87" s="461"/>
      <c r="J87" s="457">
        <v>9</v>
      </c>
      <c r="K87" s="458"/>
      <c r="L87" s="459">
        <f t="shared" si="1"/>
        <v>0</v>
      </c>
      <c r="M87" s="460"/>
      <c r="N87" s="461"/>
      <c r="P87" s="307"/>
      <c r="Q87" s="308"/>
      <c r="R87" s="462" t="s">
        <v>10</v>
      </c>
      <c r="S87" s="462"/>
      <c r="T87" s="463">
        <f>税額計算!H99</f>
        <v>0</v>
      </c>
      <c r="U87" s="464"/>
      <c r="V87" s="315"/>
      <c r="W87" s="315"/>
      <c r="X87" s="316"/>
      <c r="Y87" s="168"/>
      <c r="Z87" s="172"/>
      <c r="AA87" s="172"/>
      <c r="AB87" s="155"/>
    </row>
    <row r="88" spans="1:28" ht="20.25" customHeight="1">
      <c r="A88" s="155"/>
      <c r="C88" s="167"/>
      <c r="D88" s="162"/>
      <c r="E88" s="457">
        <v>4</v>
      </c>
      <c r="F88" s="458"/>
      <c r="G88" s="459">
        <f t="shared" si="0"/>
        <v>0</v>
      </c>
      <c r="H88" s="460"/>
      <c r="I88" s="461"/>
      <c r="J88" s="457">
        <v>10</v>
      </c>
      <c r="K88" s="458"/>
      <c r="L88" s="459">
        <f t="shared" si="1"/>
        <v>0</v>
      </c>
      <c r="M88" s="460"/>
      <c r="N88" s="461"/>
      <c r="P88" s="307"/>
      <c r="Q88" s="308"/>
      <c r="R88" s="462" t="s">
        <v>11</v>
      </c>
      <c r="S88" s="462"/>
      <c r="T88" s="463">
        <f>税額計算!H110</f>
        <v>0</v>
      </c>
      <c r="U88" s="464"/>
      <c r="V88" s="315"/>
      <c r="W88" s="315"/>
      <c r="X88" s="316"/>
      <c r="Y88" s="169"/>
      <c r="Z88" s="172"/>
      <c r="AA88" s="172"/>
      <c r="AB88" s="155"/>
    </row>
    <row r="89" spans="1:28" ht="20.25" customHeight="1" thickBot="1">
      <c r="A89" s="155"/>
      <c r="C89" s="167"/>
      <c r="D89" s="162"/>
      <c r="E89" s="457">
        <v>5</v>
      </c>
      <c r="F89" s="458"/>
      <c r="G89" s="459">
        <f t="shared" si="0"/>
        <v>0</v>
      </c>
      <c r="H89" s="460"/>
      <c r="I89" s="461"/>
      <c r="J89" s="457">
        <v>11</v>
      </c>
      <c r="K89" s="458"/>
      <c r="L89" s="459">
        <f t="shared" si="1"/>
        <v>0</v>
      </c>
      <c r="M89" s="460"/>
      <c r="N89" s="461"/>
      <c r="P89" s="309"/>
      <c r="Q89" s="310"/>
      <c r="R89" s="320" t="s">
        <v>145</v>
      </c>
      <c r="S89" s="320"/>
      <c r="T89" s="324">
        <f>税額計算!H121</f>
        <v>0</v>
      </c>
      <c r="U89" s="325"/>
      <c r="V89" s="317"/>
      <c r="W89" s="318"/>
      <c r="X89" s="319"/>
      <c r="Y89" s="169"/>
      <c r="Z89" s="172"/>
      <c r="AA89" s="172"/>
      <c r="AB89" s="155"/>
    </row>
    <row r="90" spans="1:28" ht="20.25" customHeight="1" thickBot="1">
      <c r="A90" s="155"/>
      <c r="C90" s="162"/>
      <c r="D90" s="162"/>
      <c r="E90" s="473">
        <v>6</v>
      </c>
      <c r="F90" s="474"/>
      <c r="G90" s="470">
        <f t="shared" si="0"/>
        <v>0</v>
      </c>
      <c r="H90" s="471"/>
      <c r="I90" s="472"/>
      <c r="J90" s="473">
        <v>12</v>
      </c>
      <c r="K90" s="474"/>
      <c r="L90" s="470">
        <f t="shared" si="1"/>
        <v>0</v>
      </c>
      <c r="M90" s="471"/>
      <c r="N90" s="472"/>
      <c r="P90" s="305" t="str">
        <f>C75</f>
        <v/>
      </c>
      <c r="Q90" s="306"/>
      <c r="R90" s="449" t="s">
        <v>9</v>
      </c>
      <c r="S90" s="450"/>
      <c r="T90" s="451">
        <f>税額計算!I88</f>
        <v>0</v>
      </c>
      <c r="U90" s="452"/>
      <c r="V90" s="311">
        <f>税額計算!I131</f>
        <v>0</v>
      </c>
      <c r="W90" s="312"/>
      <c r="X90" s="313"/>
      <c r="Y90" s="169"/>
      <c r="Z90" s="172"/>
      <c r="AA90" s="172"/>
      <c r="AB90" s="155"/>
    </row>
    <row r="91" spans="1:28" ht="20.25" customHeight="1" thickBot="1">
      <c r="A91" s="155"/>
      <c r="C91" s="477" t="s">
        <v>125</v>
      </c>
      <c r="D91" s="477"/>
      <c r="E91" s="165" t="s">
        <v>126</v>
      </c>
      <c r="F91" s="165"/>
      <c r="G91" s="165"/>
      <c r="H91" s="165"/>
      <c r="I91" s="165"/>
      <c r="J91" s="165"/>
      <c r="K91" s="165"/>
      <c r="L91" s="165"/>
      <c r="M91" s="165"/>
      <c r="N91" s="162"/>
      <c r="P91" s="307"/>
      <c r="Q91" s="308"/>
      <c r="R91" s="462" t="s">
        <v>10</v>
      </c>
      <c r="S91" s="462"/>
      <c r="T91" s="463">
        <f>税額計算!I99</f>
        <v>0</v>
      </c>
      <c r="U91" s="464"/>
      <c r="V91" s="314"/>
      <c r="W91" s="315"/>
      <c r="X91" s="316"/>
      <c r="Y91" s="169"/>
      <c r="Z91" s="172"/>
      <c r="AA91" s="172"/>
      <c r="AB91" s="155"/>
    </row>
    <row r="92" spans="1:28" ht="20.25" customHeight="1" thickBot="1">
      <c r="A92" s="155"/>
      <c r="C92" s="165"/>
      <c r="D92" s="165"/>
      <c r="E92" s="328" t="s">
        <v>123</v>
      </c>
      <c r="F92" s="329"/>
      <c r="G92" s="330" t="s">
        <v>124</v>
      </c>
      <c r="H92" s="331"/>
      <c r="I92" s="332"/>
      <c r="J92" s="328" t="s">
        <v>123</v>
      </c>
      <c r="K92" s="329"/>
      <c r="L92" s="330" t="s">
        <v>124</v>
      </c>
      <c r="M92" s="331"/>
      <c r="N92" s="332"/>
      <c r="P92" s="307"/>
      <c r="Q92" s="308"/>
      <c r="R92" s="462" t="s">
        <v>11</v>
      </c>
      <c r="S92" s="462"/>
      <c r="T92" s="463">
        <f>税額計算!I110</f>
        <v>0</v>
      </c>
      <c r="U92" s="464"/>
      <c r="V92" s="314"/>
      <c r="W92" s="315"/>
      <c r="X92" s="316"/>
      <c r="Y92" s="161"/>
      <c r="Z92" s="172"/>
      <c r="AA92" s="172"/>
      <c r="AB92" s="155"/>
    </row>
    <row r="93" spans="1:28" ht="20.25" customHeight="1" thickBot="1">
      <c r="A93" s="155"/>
      <c r="C93" s="167"/>
      <c r="D93" s="167"/>
      <c r="E93" s="475">
        <v>1</v>
      </c>
      <c r="F93" s="476"/>
      <c r="G93" s="467">
        <f>F80-SUM(G94:G96)-SUM(L93:L96)</f>
        <v>0</v>
      </c>
      <c r="H93" s="468"/>
      <c r="I93" s="469"/>
      <c r="J93" s="475">
        <v>5</v>
      </c>
      <c r="K93" s="476"/>
      <c r="L93" s="467">
        <f>ROUNDDOWN($F$80/8,-3)</f>
        <v>0</v>
      </c>
      <c r="M93" s="468"/>
      <c r="N93" s="469"/>
      <c r="P93" s="309"/>
      <c r="Q93" s="310"/>
      <c r="R93" s="320" t="s">
        <v>145</v>
      </c>
      <c r="S93" s="320"/>
      <c r="T93" s="324">
        <f>税額計算!I121</f>
        <v>0</v>
      </c>
      <c r="U93" s="325"/>
      <c r="V93" s="317"/>
      <c r="W93" s="318"/>
      <c r="X93" s="319"/>
      <c r="Y93" s="161"/>
      <c r="Z93" s="172"/>
      <c r="AA93" s="172"/>
      <c r="AB93" s="155"/>
    </row>
    <row r="94" spans="1:28" ht="20.25" customHeight="1">
      <c r="A94" s="155"/>
      <c r="C94" s="162"/>
      <c r="D94" s="162"/>
      <c r="E94" s="480">
        <v>2</v>
      </c>
      <c r="F94" s="481"/>
      <c r="G94" s="459">
        <f>ROUNDDOWN($F$80/8,-3)</f>
        <v>0</v>
      </c>
      <c r="H94" s="460"/>
      <c r="I94" s="461"/>
      <c r="J94" s="480">
        <v>6</v>
      </c>
      <c r="K94" s="481"/>
      <c r="L94" s="459">
        <f>ROUNDDOWN($F$80/8,-3)</f>
        <v>0</v>
      </c>
      <c r="M94" s="460"/>
      <c r="N94" s="461"/>
      <c r="P94" s="305" t="str">
        <f>C76</f>
        <v/>
      </c>
      <c r="Q94" s="306"/>
      <c r="R94" s="449" t="s">
        <v>9</v>
      </c>
      <c r="S94" s="450"/>
      <c r="T94" s="451">
        <f>税額計算!J88</f>
        <v>0</v>
      </c>
      <c r="U94" s="452"/>
      <c r="V94" s="311">
        <f>税額計算!J131</f>
        <v>0</v>
      </c>
      <c r="W94" s="312"/>
      <c r="X94" s="313"/>
      <c r="Y94" s="161"/>
      <c r="Z94" s="172"/>
      <c r="AA94" s="172"/>
      <c r="AB94" s="155"/>
    </row>
    <row r="95" spans="1:28" ht="20.25" customHeight="1">
      <c r="A95" s="155"/>
      <c r="C95" s="162"/>
      <c r="D95" s="162"/>
      <c r="E95" s="480">
        <v>3</v>
      </c>
      <c r="F95" s="481"/>
      <c r="G95" s="459">
        <f>ROUNDDOWN($F$80/8,-3)</f>
        <v>0</v>
      </c>
      <c r="H95" s="460"/>
      <c r="I95" s="461"/>
      <c r="J95" s="480">
        <v>7</v>
      </c>
      <c r="K95" s="481"/>
      <c r="L95" s="459">
        <f>ROUNDDOWN($F$80/8,-3)</f>
        <v>0</v>
      </c>
      <c r="M95" s="460"/>
      <c r="N95" s="461"/>
      <c r="P95" s="307"/>
      <c r="Q95" s="308"/>
      <c r="R95" s="462" t="s">
        <v>10</v>
      </c>
      <c r="S95" s="462"/>
      <c r="T95" s="463">
        <f>税額計算!J99</f>
        <v>0</v>
      </c>
      <c r="U95" s="464"/>
      <c r="V95" s="314"/>
      <c r="W95" s="315"/>
      <c r="X95" s="316"/>
      <c r="Y95" s="161"/>
      <c r="Z95" s="172"/>
      <c r="AA95" s="172"/>
      <c r="AB95" s="155"/>
    </row>
    <row r="96" spans="1:28" ht="19.5" customHeight="1" thickBot="1">
      <c r="A96" s="155"/>
      <c r="C96" s="167"/>
      <c r="D96" s="167"/>
      <c r="E96" s="482">
        <v>4</v>
      </c>
      <c r="F96" s="483"/>
      <c r="G96" s="470">
        <f>ROUNDDOWN($F$80/8,-3)</f>
        <v>0</v>
      </c>
      <c r="H96" s="471"/>
      <c r="I96" s="472"/>
      <c r="J96" s="482">
        <v>8</v>
      </c>
      <c r="K96" s="483"/>
      <c r="L96" s="470">
        <f>ROUNDDOWN($F$80/8,-3)</f>
        <v>0</v>
      </c>
      <c r="M96" s="471"/>
      <c r="N96" s="472"/>
      <c r="P96" s="307"/>
      <c r="Q96" s="308"/>
      <c r="R96" s="462" t="s">
        <v>11</v>
      </c>
      <c r="S96" s="462"/>
      <c r="T96" s="463">
        <f>税額計算!J110</f>
        <v>0</v>
      </c>
      <c r="U96" s="464"/>
      <c r="V96" s="314"/>
      <c r="W96" s="315"/>
      <c r="X96" s="316"/>
      <c r="Y96" s="161"/>
      <c r="Z96" s="172"/>
      <c r="AA96" s="172"/>
      <c r="AB96" s="155"/>
    </row>
    <row r="97" spans="1:28" ht="18.75" customHeight="1" thickBot="1">
      <c r="A97" s="155"/>
      <c r="C97" s="167"/>
      <c r="D97" s="167"/>
      <c r="E97" s="254"/>
      <c r="F97" s="254"/>
      <c r="G97" s="255"/>
      <c r="H97" s="255"/>
      <c r="I97" s="255"/>
      <c r="J97" s="254"/>
      <c r="K97" s="254"/>
      <c r="L97" s="253"/>
      <c r="M97" s="253"/>
      <c r="N97" s="253"/>
      <c r="P97" s="309"/>
      <c r="Q97" s="310"/>
      <c r="R97" s="320" t="s">
        <v>145</v>
      </c>
      <c r="S97" s="320"/>
      <c r="T97" s="326">
        <f>税額計算!J121</f>
        <v>0</v>
      </c>
      <c r="U97" s="327"/>
      <c r="V97" s="317"/>
      <c r="W97" s="318"/>
      <c r="X97" s="319"/>
      <c r="Y97" s="161"/>
      <c r="Z97" s="172"/>
      <c r="AA97" s="172"/>
      <c r="AB97" s="155"/>
    </row>
    <row r="98" spans="1:28" ht="15.75" customHeight="1">
      <c r="A98" s="155"/>
      <c r="C98" s="167"/>
      <c r="D98" s="167"/>
      <c r="E98" s="254"/>
      <c r="F98" s="254"/>
      <c r="G98" s="255"/>
      <c r="H98" s="255"/>
      <c r="I98" s="255"/>
      <c r="J98" s="254"/>
      <c r="K98" s="254"/>
      <c r="L98" s="253"/>
      <c r="M98" s="253"/>
      <c r="N98" s="253"/>
      <c r="P98" s="305" t="str">
        <f>C77</f>
        <v/>
      </c>
      <c r="Q98" s="321"/>
      <c r="R98" s="449" t="s">
        <v>9</v>
      </c>
      <c r="S98" s="450"/>
      <c r="T98" s="451">
        <f>税額計算!K88</f>
        <v>0</v>
      </c>
      <c r="U98" s="452"/>
      <c r="V98" s="312">
        <f>税額計算!K131</f>
        <v>0</v>
      </c>
      <c r="W98" s="312"/>
      <c r="X98" s="313"/>
      <c r="Y98" s="161"/>
      <c r="Z98" s="172"/>
      <c r="AA98" s="172"/>
      <c r="AB98" s="155"/>
    </row>
    <row r="99" spans="1:28" ht="15.75" customHeight="1">
      <c r="A99" s="155"/>
      <c r="C99" s="167"/>
      <c r="D99" s="167"/>
      <c r="E99" s="254"/>
      <c r="F99" s="254"/>
      <c r="G99" s="255"/>
      <c r="H99" s="255"/>
      <c r="I99" s="255"/>
      <c r="J99" s="254"/>
      <c r="K99" s="254"/>
      <c r="L99" s="253"/>
      <c r="M99" s="253"/>
      <c r="N99" s="253"/>
      <c r="P99" s="307"/>
      <c r="Q99" s="322"/>
      <c r="R99" s="453" t="s">
        <v>10</v>
      </c>
      <c r="S99" s="454"/>
      <c r="T99" s="455">
        <f>税額計算!K99</f>
        <v>0</v>
      </c>
      <c r="U99" s="456"/>
      <c r="V99" s="315"/>
      <c r="W99" s="315"/>
      <c r="X99" s="316"/>
      <c r="Y99" s="161"/>
      <c r="Z99" s="172"/>
      <c r="AA99" s="172"/>
      <c r="AB99" s="155"/>
    </row>
    <row r="100" spans="1:28" ht="15.75" customHeight="1">
      <c r="A100" s="155"/>
      <c r="C100" s="167"/>
      <c r="D100" s="167"/>
      <c r="E100" s="254"/>
      <c r="F100" s="254"/>
      <c r="G100" s="255"/>
      <c r="H100" s="255"/>
      <c r="I100" s="255"/>
      <c r="J100" s="254"/>
      <c r="K100" s="254"/>
      <c r="L100" s="253"/>
      <c r="M100" s="253"/>
      <c r="N100" s="253"/>
      <c r="P100" s="307"/>
      <c r="Q100" s="322"/>
      <c r="R100" s="441" t="s">
        <v>11</v>
      </c>
      <c r="S100" s="442"/>
      <c r="T100" s="443">
        <f>税額計算!K110</f>
        <v>0</v>
      </c>
      <c r="U100" s="444"/>
      <c r="V100" s="315"/>
      <c r="W100" s="315"/>
      <c r="X100" s="316"/>
      <c r="Y100" s="161"/>
      <c r="Z100" s="172"/>
      <c r="AA100" s="172"/>
      <c r="AB100" s="155"/>
    </row>
    <row r="101" spans="1:28" ht="15.75" customHeight="1" thickBot="1">
      <c r="A101" s="155"/>
      <c r="C101" s="167"/>
      <c r="D101" s="167"/>
      <c r="E101" s="254"/>
      <c r="F101" s="254"/>
      <c r="G101" s="255"/>
      <c r="H101" s="255"/>
      <c r="I101" s="255"/>
      <c r="J101" s="254"/>
      <c r="K101" s="254"/>
      <c r="L101" s="253"/>
      <c r="M101" s="253"/>
      <c r="N101" s="253"/>
      <c r="P101" s="309"/>
      <c r="Q101" s="323"/>
      <c r="R101" s="320" t="s">
        <v>145</v>
      </c>
      <c r="S101" s="320"/>
      <c r="T101" s="324">
        <f>税額計算!K121</f>
        <v>0</v>
      </c>
      <c r="U101" s="325"/>
      <c r="V101" s="318"/>
      <c r="W101" s="318"/>
      <c r="X101" s="319"/>
      <c r="Y101" s="161"/>
      <c r="Z101" s="172"/>
      <c r="AA101" s="172"/>
      <c r="AB101" s="155"/>
    </row>
    <row r="102" spans="1:28" ht="15.75" customHeight="1" thickBot="1">
      <c r="A102" s="155"/>
      <c r="C102" s="167"/>
      <c r="D102" s="171"/>
      <c r="Y102" s="161"/>
      <c r="Z102" s="172"/>
      <c r="AA102" s="172"/>
      <c r="AB102" s="155"/>
    </row>
    <row r="103" spans="1:28" ht="15" customHeight="1" thickTop="1">
      <c r="A103" s="155"/>
      <c r="C103" s="296" t="s">
        <v>117</v>
      </c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8"/>
      <c r="Y103" s="161"/>
      <c r="Z103" s="172"/>
      <c r="AA103" s="172"/>
      <c r="AB103" s="155"/>
    </row>
    <row r="104" spans="1:28" ht="15" customHeight="1">
      <c r="A104" s="155"/>
      <c r="C104" s="299"/>
      <c r="D104" s="300"/>
      <c r="E104" s="300"/>
      <c r="F104" s="300"/>
      <c r="G104" s="300"/>
      <c r="H104" s="300"/>
      <c r="I104" s="300"/>
      <c r="J104" s="300"/>
      <c r="K104" s="300"/>
      <c r="L104" s="300"/>
      <c r="M104" s="300"/>
      <c r="N104" s="300"/>
      <c r="O104" s="300"/>
      <c r="P104" s="300"/>
      <c r="Q104" s="300"/>
      <c r="R104" s="300"/>
      <c r="S104" s="300"/>
      <c r="T104" s="300"/>
      <c r="U104" s="300"/>
      <c r="V104" s="300"/>
      <c r="W104" s="300"/>
      <c r="X104" s="301"/>
      <c r="Y104" s="161"/>
      <c r="Z104" s="172"/>
      <c r="AA104" s="172"/>
      <c r="AB104" s="155"/>
    </row>
    <row r="105" spans="1:28" ht="15.75" customHeight="1" thickBot="1">
      <c r="A105" s="155"/>
      <c r="C105" s="302"/>
      <c r="D105" s="303"/>
      <c r="E105" s="303"/>
      <c r="F105" s="303"/>
      <c r="G105" s="303"/>
      <c r="H105" s="303"/>
      <c r="I105" s="303"/>
      <c r="J105" s="303"/>
      <c r="K105" s="303"/>
      <c r="L105" s="303"/>
      <c r="M105" s="303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4"/>
      <c r="Y105" s="161"/>
      <c r="Z105" s="172"/>
      <c r="AA105" s="172"/>
      <c r="AB105" s="155"/>
    </row>
    <row r="106" spans="1:28" ht="15.75" customHeight="1" thickTop="1">
      <c r="A106" s="155"/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</row>
    <row r="107" spans="1:28" ht="15.75" customHeight="1">
      <c r="A107" s="155"/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</row>
    <row r="108" spans="1:28" ht="15.75" customHeight="1">
      <c r="A108" s="155"/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</row>
    <row r="109" spans="1:28" ht="15" customHeight="1">
      <c r="A109" s="155"/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</row>
    <row r="110" spans="1:28" ht="15" customHeight="1">
      <c r="A110" s="155"/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  <c r="P110" s="155"/>
      <c r="Q110" s="155"/>
      <c r="R110" s="155"/>
      <c r="S110" s="155"/>
      <c r="T110" s="155"/>
      <c r="U110" s="155"/>
      <c r="V110" s="155"/>
      <c r="W110" s="155"/>
      <c r="X110" s="155"/>
      <c r="Y110" s="155"/>
      <c r="Z110" s="155"/>
      <c r="AA110" s="155"/>
      <c r="AB110" s="155"/>
    </row>
    <row r="111" spans="1:28" ht="15.75" customHeight="1">
      <c r="A111" s="155"/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</row>
    <row r="112" spans="1:28" ht="15.75" customHeight="1">
      <c r="A112" s="155"/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  <c r="Q112" s="155"/>
      <c r="R112" s="155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</row>
    <row r="113" spans="2:13" ht="15" customHeight="1"/>
    <row r="114" spans="2:13" ht="15" customHeight="1">
      <c r="H114" s="172"/>
      <c r="I114" s="172"/>
      <c r="M114" s="162"/>
    </row>
    <row r="115" spans="2:13" ht="15" customHeight="1">
      <c r="B115" s="172"/>
    </row>
    <row r="116" spans="2:13" ht="15" customHeight="1">
      <c r="B116" s="172"/>
    </row>
    <row r="117" spans="2:13" ht="15" customHeight="1">
      <c r="B117" s="172"/>
    </row>
    <row r="118" spans="2:13" ht="15" customHeight="1"/>
    <row r="119" spans="2:13" ht="15" customHeight="1"/>
  </sheetData>
  <sheetProtection algorithmName="SHA-512" hashValue="u1l3y+JYgPTDbItDr+wz6Fm/dR6h/C8ZzXXRr7OtJdHAANsltD1ybqxm18Z02In3SkFkysKPJb+Z+dsWGrKiTQ==" saltValue="VGGxJjyp92bR0xhveL7NuA==" spinCount="100000" sheet="1" selectLockedCells="1"/>
  <mergeCells count="213">
    <mergeCell ref="C91:D91"/>
    <mergeCell ref="R96:S96"/>
    <mergeCell ref="T96:U96"/>
    <mergeCell ref="F59:I59"/>
    <mergeCell ref="F58:I58"/>
    <mergeCell ref="T100:U100"/>
    <mergeCell ref="T98:U98"/>
    <mergeCell ref="E95:F95"/>
    <mergeCell ref="G95:I95"/>
    <mergeCell ref="J95:K95"/>
    <mergeCell ref="L95:N95"/>
    <mergeCell ref="R99:S99"/>
    <mergeCell ref="T99:U99"/>
    <mergeCell ref="E96:F96"/>
    <mergeCell ref="G96:I96"/>
    <mergeCell ref="E94:F94"/>
    <mergeCell ref="G94:I94"/>
    <mergeCell ref="J94:K94"/>
    <mergeCell ref="L94:N94"/>
    <mergeCell ref="R98:S98"/>
    <mergeCell ref="J96:K96"/>
    <mergeCell ref="L96:N96"/>
    <mergeCell ref="R100:S100"/>
    <mergeCell ref="R94:S94"/>
    <mergeCell ref="T94:U94"/>
    <mergeCell ref="E92:F92"/>
    <mergeCell ref="G92:I92"/>
    <mergeCell ref="J92:K92"/>
    <mergeCell ref="L92:N92"/>
    <mergeCell ref="R95:S95"/>
    <mergeCell ref="T95:U95"/>
    <mergeCell ref="E93:F93"/>
    <mergeCell ref="G93:I93"/>
    <mergeCell ref="J93:K93"/>
    <mergeCell ref="L93:N93"/>
    <mergeCell ref="T92:U92"/>
    <mergeCell ref="E88:F88"/>
    <mergeCell ref="G88:I88"/>
    <mergeCell ref="J88:K88"/>
    <mergeCell ref="L88:N88"/>
    <mergeCell ref="R90:S90"/>
    <mergeCell ref="T90:U90"/>
    <mergeCell ref="L90:N90"/>
    <mergeCell ref="R92:S92"/>
    <mergeCell ref="R88:S88"/>
    <mergeCell ref="T88:U88"/>
    <mergeCell ref="E89:F89"/>
    <mergeCell ref="G89:I89"/>
    <mergeCell ref="J89:K89"/>
    <mergeCell ref="L89:N89"/>
    <mergeCell ref="R91:S91"/>
    <mergeCell ref="T91:U91"/>
    <mergeCell ref="E90:F90"/>
    <mergeCell ref="G90:I90"/>
    <mergeCell ref="J90:K90"/>
    <mergeCell ref="E86:F86"/>
    <mergeCell ref="G86:I86"/>
    <mergeCell ref="J86:K86"/>
    <mergeCell ref="L86:N86"/>
    <mergeCell ref="R87:S87"/>
    <mergeCell ref="T87:U87"/>
    <mergeCell ref="E87:F87"/>
    <mergeCell ref="G87:I87"/>
    <mergeCell ref="E85:F85"/>
    <mergeCell ref="G85:I85"/>
    <mergeCell ref="J85:K85"/>
    <mergeCell ref="L85:N85"/>
    <mergeCell ref="R86:S86"/>
    <mergeCell ref="J87:K87"/>
    <mergeCell ref="L87:N87"/>
    <mergeCell ref="L84:N84"/>
    <mergeCell ref="R84:S84"/>
    <mergeCell ref="T84:U84"/>
    <mergeCell ref="V80:X81"/>
    <mergeCell ref="R82:S82"/>
    <mergeCell ref="T82:U82"/>
    <mergeCell ref="R83:S83"/>
    <mergeCell ref="T83:U83"/>
    <mergeCell ref="T86:U86"/>
    <mergeCell ref="B78:B79"/>
    <mergeCell ref="C78:F79"/>
    <mergeCell ref="O78:O79"/>
    <mergeCell ref="P78:S79"/>
    <mergeCell ref="C80:E81"/>
    <mergeCell ref="F80:I81"/>
    <mergeCell ref="J80:K81"/>
    <mergeCell ref="L80:N81"/>
    <mergeCell ref="P80:Q81"/>
    <mergeCell ref="R80:U81"/>
    <mergeCell ref="G76:H76"/>
    <mergeCell ref="I76:J76"/>
    <mergeCell ref="K76:L76"/>
    <mergeCell ref="M76:N76"/>
    <mergeCell ref="O76:P76"/>
    <mergeCell ref="Q76:R76"/>
    <mergeCell ref="S76:T76"/>
    <mergeCell ref="C77:D77"/>
    <mergeCell ref="E77:F77"/>
    <mergeCell ref="G77:H77"/>
    <mergeCell ref="I77:J77"/>
    <mergeCell ref="K77:L77"/>
    <mergeCell ref="M77:N77"/>
    <mergeCell ref="O77:P77"/>
    <mergeCell ref="Q77:R77"/>
    <mergeCell ref="S77:T77"/>
    <mergeCell ref="Q73:R73"/>
    <mergeCell ref="S73:T73"/>
    <mergeCell ref="U73:V77"/>
    <mergeCell ref="W73:X77"/>
    <mergeCell ref="C74:D74"/>
    <mergeCell ref="E74:F74"/>
    <mergeCell ref="G74:H74"/>
    <mergeCell ref="I74:J74"/>
    <mergeCell ref="K74:L74"/>
    <mergeCell ref="M74:N74"/>
    <mergeCell ref="O74:P74"/>
    <mergeCell ref="Q74:R74"/>
    <mergeCell ref="S74:T74"/>
    <mergeCell ref="C75:D75"/>
    <mergeCell ref="E75:F75"/>
    <mergeCell ref="G75:H75"/>
    <mergeCell ref="I75:J75"/>
    <mergeCell ref="K75:L75"/>
    <mergeCell ref="M75:N75"/>
    <mergeCell ref="O75:P75"/>
    <mergeCell ref="Q75:R75"/>
    <mergeCell ref="S75:T75"/>
    <mergeCell ref="C76:D76"/>
    <mergeCell ref="E76:F76"/>
    <mergeCell ref="C73:D73"/>
    <mergeCell ref="E73:F73"/>
    <mergeCell ref="G73:H73"/>
    <mergeCell ref="I73:J73"/>
    <mergeCell ref="K73:L73"/>
    <mergeCell ref="M73:N73"/>
    <mergeCell ref="O73:P73"/>
    <mergeCell ref="M71:N72"/>
    <mergeCell ref="O71:P71"/>
    <mergeCell ref="W71:X72"/>
    <mergeCell ref="C67:Q68"/>
    <mergeCell ref="U67:X67"/>
    <mergeCell ref="U68:X68"/>
    <mergeCell ref="B69:B70"/>
    <mergeCell ref="C69:F70"/>
    <mergeCell ref="C71:D72"/>
    <mergeCell ref="E71:F72"/>
    <mergeCell ref="G71:H72"/>
    <mergeCell ref="I71:J72"/>
    <mergeCell ref="K71:L71"/>
    <mergeCell ref="K72:L72"/>
    <mergeCell ref="O72:P72"/>
    <mergeCell ref="U72:V72"/>
    <mergeCell ref="Q71:R72"/>
    <mergeCell ref="S71:T72"/>
    <mergeCell ref="U71:V71"/>
    <mergeCell ref="B62:E62"/>
    <mergeCell ref="K62:O62"/>
    <mergeCell ref="P62:T62"/>
    <mergeCell ref="U62:Z62"/>
    <mergeCell ref="B63:E63"/>
    <mergeCell ref="K63:O63"/>
    <mergeCell ref="P63:T63"/>
    <mergeCell ref="U63:Z63"/>
    <mergeCell ref="F62:I62"/>
    <mergeCell ref="F63:I63"/>
    <mergeCell ref="Z74:AA74"/>
    <mergeCell ref="Z75:AA75"/>
    <mergeCell ref="Z76:AA76"/>
    <mergeCell ref="Z77:AA77"/>
    <mergeCell ref="Z73:AA73"/>
    <mergeCell ref="Z71:AA72"/>
    <mergeCell ref="B58:E58"/>
    <mergeCell ref="K58:O58"/>
    <mergeCell ref="P58:T58"/>
    <mergeCell ref="U58:Z58"/>
    <mergeCell ref="B59:E59"/>
    <mergeCell ref="K59:O59"/>
    <mergeCell ref="P59:T59"/>
    <mergeCell ref="U59:Z59"/>
    <mergeCell ref="B60:E60"/>
    <mergeCell ref="K60:O60"/>
    <mergeCell ref="P60:T60"/>
    <mergeCell ref="U60:Z60"/>
    <mergeCell ref="B61:E61"/>
    <mergeCell ref="K61:O61"/>
    <mergeCell ref="P61:T61"/>
    <mergeCell ref="U61:Z61"/>
    <mergeCell ref="F60:I60"/>
    <mergeCell ref="F61:I61"/>
    <mergeCell ref="C103:X105"/>
    <mergeCell ref="P82:Q85"/>
    <mergeCell ref="V82:X85"/>
    <mergeCell ref="P86:Q89"/>
    <mergeCell ref="V86:X89"/>
    <mergeCell ref="P90:Q93"/>
    <mergeCell ref="V90:X93"/>
    <mergeCell ref="P94:Q97"/>
    <mergeCell ref="V94:X97"/>
    <mergeCell ref="R85:S85"/>
    <mergeCell ref="V98:X101"/>
    <mergeCell ref="P98:Q101"/>
    <mergeCell ref="T101:U101"/>
    <mergeCell ref="R101:S101"/>
    <mergeCell ref="R97:S97"/>
    <mergeCell ref="T97:U97"/>
    <mergeCell ref="R93:S93"/>
    <mergeCell ref="T93:U93"/>
    <mergeCell ref="R89:S89"/>
    <mergeCell ref="T89:U89"/>
    <mergeCell ref="T85:U85"/>
    <mergeCell ref="E84:F84"/>
    <mergeCell ref="G84:I84"/>
    <mergeCell ref="J84:K84"/>
  </mergeCells>
  <phoneticPr fontId="16"/>
  <conditionalFormatting sqref="J59">
    <cfRule type="expression" dxfId="9" priority="5">
      <formula>IF($F$59="",,AND($F$59&lt;5,$AB$59=FALSE))</formula>
    </cfRule>
    <cfRule type="expression" dxfId="8" priority="11">
      <formula>AND($F$59&gt;6,$AB$59=TRUE)</formula>
    </cfRule>
  </conditionalFormatting>
  <conditionalFormatting sqref="J60">
    <cfRule type="expression" dxfId="7" priority="4">
      <formula>IF($F$60="",,AND($F$60&lt;5,$AB$60=FALSE))</formula>
    </cfRule>
    <cfRule type="expression" dxfId="6" priority="9">
      <formula>AND($F$60&gt;6,$AB$60=TRUE)</formula>
    </cfRule>
  </conditionalFormatting>
  <conditionalFormatting sqref="J61">
    <cfRule type="expression" dxfId="5" priority="3">
      <formula>IF($F$61="",,AND($F$61&lt;5,$AB$61=FALSE))</formula>
    </cfRule>
    <cfRule type="expression" dxfId="4" priority="8">
      <formula>AND($F$61&gt;6,$AB$61=TRUE)</formula>
    </cfRule>
  </conditionalFormatting>
  <conditionalFormatting sqref="J62">
    <cfRule type="expression" dxfId="3" priority="2">
      <formula>IF($F$62="",,AND($F$62&lt;5,$AB$62=FALSE))</formula>
    </cfRule>
    <cfRule type="expression" dxfId="2" priority="7">
      <formula>AND($F$62&gt;6,$AB$62=TRUE)</formula>
    </cfRule>
  </conditionalFormatting>
  <conditionalFormatting sqref="J63">
    <cfRule type="expression" dxfId="1" priority="1">
      <formula>IF($F$63="",,AND($F$63&lt;5,$AB$63=FALSE))</formula>
    </cfRule>
    <cfRule type="expression" dxfId="0" priority="6">
      <formula>AND($F$63&gt;6,$AB$63=TRUE)</formula>
    </cfRule>
  </conditionalFormatting>
  <dataValidations count="5">
    <dataValidation type="whole" showDropDown="1" showErrorMessage="1" prompt="国保に加入する世帯員の年齢を入力してください。" sqref="F59:F63 J59:J63" xr:uid="{00000000-0002-0000-0000-000000000000}">
      <formula1>0</formula1>
      <formula2>74</formula2>
    </dataValidation>
    <dataValidation type="whole" showDropDown="1" showErrorMessage="1" prompt="国保に加入する世帯員の年齢を入力してください。" sqref="C64:D66" xr:uid="{00000000-0002-0000-0000-000001000000}">
      <formula1>0</formula1>
      <formula2>120</formula2>
    </dataValidation>
    <dataValidation type="whole" allowBlank="1" showErrorMessage="1" prompt="平成25年中の年金収入を入力してください。" sqref="E64:H66 P59:P63 K59:L63" xr:uid="{00000000-0002-0000-0000-000002000000}">
      <formula1>0</formula1>
      <formula2>999999999</formula2>
    </dataValidation>
    <dataValidation type="whole" allowBlank="1" showErrorMessage="1" prompt="平成25年中の営業その他の所得を入力してください。" sqref="I64:J66 U59:U63" xr:uid="{00000000-0002-0000-0000-000003000000}">
      <formula1>0</formula1>
      <formula2>999999999</formula2>
    </dataValidation>
    <dataValidation type="list" allowBlank="1" showInputMessage="1" showErrorMessage="1" sqref="AA59:AA63" xr:uid="{00000000-0002-0000-0000-000004000000}">
      <formula1>",〇"</formula1>
    </dataValidation>
  </dataValidations>
  <printOptions horizontalCentered="1" verticalCentered="1"/>
  <pageMargins left="0" right="0" top="0" bottom="0" header="0.19685039370078741" footer="0.19685039370078741"/>
  <pageSetup paperSize="9" scale="88" orientation="landscape" verticalDpi="300" r:id="rId1"/>
  <headerFooter alignWithMargins="0"/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4" name="Check Box 3">
              <controlPr defaultSize="0" autoFill="0" autoLine="0" autoPict="0">
                <anchor moveWithCells="1">
                  <from>
                    <xdr:col>9</xdr:col>
                    <xdr:colOff>142875</xdr:colOff>
                    <xdr:row>60</xdr:row>
                    <xdr:rowOff>190500</xdr:rowOff>
                  </from>
                  <to>
                    <xdr:col>9</xdr:col>
                    <xdr:colOff>409575</xdr:colOff>
                    <xdr:row>60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5" name="Check Box 4">
              <controlPr defaultSize="0" autoFill="0" autoLine="0" autoPict="0">
                <anchor moveWithCells="1">
                  <from>
                    <xdr:col>9</xdr:col>
                    <xdr:colOff>142875</xdr:colOff>
                    <xdr:row>61</xdr:row>
                    <xdr:rowOff>190500</xdr:rowOff>
                  </from>
                  <to>
                    <xdr:col>9</xdr:col>
                    <xdr:colOff>419100</xdr:colOff>
                    <xdr:row>61</xdr:row>
                    <xdr:rowOff>628650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6" name="Check Box 5">
              <controlPr defaultSize="0" autoFill="0" autoLine="0" autoPict="0">
                <anchor moveWithCells="1">
                  <from>
                    <xdr:col>9</xdr:col>
                    <xdr:colOff>142875</xdr:colOff>
                    <xdr:row>62</xdr:row>
                    <xdr:rowOff>190500</xdr:rowOff>
                  </from>
                  <to>
                    <xdr:col>9</xdr:col>
                    <xdr:colOff>419100</xdr:colOff>
                    <xdr:row>62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7" name="Check Box 2">
              <controlPr defaultSize="0" autoFill="0" autoLine="0" autoPict="0">
                <anchor moveWithCells="1">
                  <from>
                    <xdr:col>9</xdr:col>
                    <xdr:colOff>142875</xdr:colOff>
                    <xdr:row>59</xdr:row>
                    <xdr:rowOff>190500</xdr:rowOff>
                  </from>
                  <to>
                    <xdr:col>9</xdr:col>
                    <xdr:colOff>419100</xdr:colOff>
                    <xdr:row>59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8" name="Check Box 7">
              <controlPr defaultSize="0" autoFill="0" autoLine="0" autoPict="0">
                <anchor moveWithCells="1">
                  <from>
                    <xdr:col>9</xdr:col>
                    <xdr:colOff>142875</xdr:colOff>
                    <xdr:row>58</xdr:row>
                    <xdr:rowOff>190500</xdr:rowOff>
                  </from>
                  <to>
                    <xdr:col>9</xdr:col>
                    <xdr:colOff>419100</xdr:colOff>
                    <xdr:row>58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9" name="Check Box 14">
              <controlPr defaultSize="0" autoFill="0" autoLine="0" autoPict="0">
                <anchor moveWithCells="1">
                  <from>
                    <xdr:col>9</xdr:col>
                    <xdr:colOff>142875</xdr:colOff>
                    <xdr:row>59</xdr:row>
                    <xdr:rowOff>190500</xdr:rowOff>
                  </from>
                  <to>
                    <xdr:col>9</xdr:col>
                    <xdr:colOff>419100</xdr:colOff>
                    <xdr:row>59</xdr:row>
                    <xdr:rowOff>619125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X134"/>
  <sheetViews>
    <sheetView zoomScale="70" zoomScaleNormal="70" workbookViewId="0">
      <selection activeCell="C19" sqref="C19"/>
    </sheetView>
  </sheetViews>
  <sheetFormatPr defaultRowHeight="13.5"/>
  <cols>
    <col min="1" max="1" width="16.125" style="5" customWidth="1"/>
    <col min="2" max="6" width="11.625" style="5" customWidth="1"/>
    <col min="7" max="7" width="11.25" style="6" customWidth="1"/>
    <col min="8" max="11" width="11.25" style="5" customWidth="1"/>
    <col min="12" max="12" width="4.875" style="5" customWidth="1"/>
    <col min="13" max="14" width="9" style="5"/>
    <col min="15" max="15" width="7.25" style="5" customWidth="1"/>
    <col min="16" max="16" width="11.625" style="189" customWidth="1"/>
    <col min="17" max="17" width="5.375" style="189" customWidth="1"/>
    <col min="18" max="18" width="11.75" style="189" customWidth="1"/>
    <col min="19" max="19" width="5.375" style="189" customWidth="1"/>
    <col min="20" max="24" width="5.75" style="189" bestFit="1" customWidth="1"/>
    <col min="25" max="32" width="9" style="5"/>
    <col min="33" max="64" width="8.625" customWidth="1"/>
    <col min="65" max="16384" width="9" style="5"/>
  </cols>
  <sheetData>
    <row r="1" spans="1:258" ht="21" customHeight="1" thickBot="1">
      <c r="A1" s="7" t="s">
        <v>12</v>
      </c>
      <c r="B1" s="513" t="s">
        <v>13</v>
      </c>
      <c r="C1" s="513"/>
      <c r="D1" s="513"/>
      <c r="E1" s="8"/>
      <c r="F1" s="8"/>
      <c r="G1"/>
      <c r="H1" s="513" t="s">
        <v>14</v>
      </c>
      <c r="I1" s="513"/>
      <c r="J1" s="513"/>
      <c r="L1"/>
      <c r="M1"/>
      <c r="N1"/>
      <c r="O1"/>
      <c r="P1"/>
      <c r="Q1" s="499" t="s">
        <v>140</v>
      </c>
      <c r="R1" s="191" t="s">
        <v>138</v>
      </c>
      <c r="S1" s="193"/>
      <c r="T1" s="191" t="s">
        <v>137</v>
      </c>
      <c r="U1" s="191"/>
      <c r="V1" s="191"/>
      <c r="W1" s="191"/>
      <c r="X1" s="191"/>
      <c r="Y1" s="191"/>
      <c r="Z1" s="191"/>
      <c r="AA1"/>
      <c r="AB1"/>
      <c r="AC1"/>
      <c r="AD1"/>
      <c r="AE1"/>
      <c r="AF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</row>
    <row r="2" spans="1:258" ht="15" customHeight="1" thickBot="1">
      <c r="A2"/>
      <c r="B2" s="9"/>
      <c r="C2" s="10" t="s">
        <v>9</v>
      </c>
      <c r="D2" s="11" t="s">
        <v>10</v>
      </c>
      <c r="E2" s="3" t="s">
        <v>11</v>
      </c>
      <c r="F2" s="256" t="s">
        <v>145</v>
      </c>
      <c r="H2" s="12" t="s">
        <v>15</v>
      </c>
      <c r="I2" s="4" t="s">
        <v>16</v>
      </c>
      <c r="J2" s="173" t="s">
        <v>17</v>
      </c>
      <c r="K2"/>
      <c r="L2"/>
      <c r="M2" s="13"/>
      <c r="N2"/>
      <c r="O2"/>
      <c r="P2"/>
      <c r="Q2" s="499"/>
      <c r="Y2" s="189"/>
      <c r="Z2" s="189"/>
      <c r="AA2"/>
      <c r="AB2"/>
      <c r="AC2"/>
      <c r="AD2"/>
      <c r="AE2"/>
      <c r="AF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</row>
    <row r="3" spans="1:258" ht="15" customHeight="1" thickBot="1">
      <c r="A3"/>
      <c r="B3" s="14" t="s">
        <v>18</v>
      </c>
      <c r="C3" s="218">
        <v>5.6500000000000002E-2</v>
      </c>
      <c r="D3" s="219">
        <v>1.9699999999999999E-2</v>
      </c>
      <c r="E3" s="220">
        <v>1.84E-2</v>
      </c>
      <c r="F3" s="258">
        <v>2.8999999999999998E-3</v>
      </c>
      <c r="H3" s="15">
        <v>40</v>
      </c>
      <c r="I3" s="16">
        <v>64</v>
      </c>
      <c r="J3" s="17">
        <v>65</v>
      </c>
      <c r="K3"/>
      <c r="P3"/>
      <c r="Q3" s="499"/>
      <c r="R3" s="194" t="s">
        <v>131</v>
      </c>
      <c r="S3" s="191">
        <v>7</v>
      </c>
      <c r="T3" s="191">
        <v>7</v>
      </c>
      <c r="U3" s="191">
        <v>7</v>
      </c>
      <c r="V3" s="191">
        <v>6</v>
      </c>
      <c r="W3" s="191">
        <v>6</v>
      </c>
      <c r="X3" s="191">
        <v>6</v>
      </c>
      <c r="Y3" s="195">
        <v>6</v>
      </c>
      <c r="Z3" s="191">
        <v>5</v>
      </c>
      <c r="AA3"/>
      <c r="AB3"/>
      <c r="AC3"/>
      <c r="AD3"/>
      <c r="AE3"/>
      <c r="AF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</row>
    <row r="4" spans="1:258" ht="15" customHeight="1">
      <c r="A4"/>
      <c r="B4" s="18" t="s">
        <v>19</v>
      </c>
      <c r="C4" s="221">
        <v>27900</v>
      </c>
      <c r="D4" s="222">
        <v>11300</v>
      </c>
      <c r="E4" s="223">
        <v>13600</v>
      </c>
      <c r="F4" s="259">
        <v>1900</v>
      </c>
      <c r="I4"/>
      <c r="J4"/>
      <c r="K4"/>
      <c r="L4"/>
      <c r="M4" s="13"/>
      <c r="N4"/>
      <c r="O4"/>
      <c r="P4"/>
      <c r="Q4" s="499"/>
      <c r="R4" s="196" t="s">
        <v>129</v>
      </c>
      <c r="S4" s="197">
        <v>7</v>
      </c>
      <c r="T4" s="197">
        <v>7</v>
      </c>
      <c r="U4" s="197">
        <v>6</v>
      </c>
      <c r="V4" s="197">
        <v>6</v>
      </c>
      <c r="W4" s="197">
        <v>6</v>
      </c>
      <c r="X4" s="198">
        <v>6</v>
      </c>
      <c r="Y4" s="199">
        <v>5</v>
      </c>
      <c r="Z4" s="199">
        <v>5</v>
      </c>
      <c r="AA4"/>
      <c r="AB4"/>
      <c r="AC4"/>
      <c r="AD4"/>
      <c r="AE4"/>
      <c r="AF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</row>
    <row r="5" spans="1:258" ht="15" customHeight="1" thickBot="1">
      <c r="A5"/>
      <c r="B5" s="19" t="s">
        <v>20</v>
      </c>
      <c r="C5" s="213">
        <v>670000</v>
      </c>
      <c r="D5" s="257">
        <v>260000</v>
      </c>
      <c r="E5" s="214">
        <v>170000</v>
      </c>
      <c r="F5" s="260">
        <v>30000</v>
      </c>
      <c r="I5"/>
      <c r="J5"/>
      <c r="K5"/>
      <c r="L5"/>
      <c r="M5" s="13"/>
      <c r="N5"/>
      <c r="O5"/>
      <c r="P5"/>
      <c r="Q5" s="205"/>
      <c r="R5" s="196" t="s">
        <v>130</v>
      </c>
      <c r="S5" s="199">
        <v>7</v>
      </c>
      <c r="T5" s="199">
        <v>6</v>
      </c>
      <c r="U5" s="199">
        <v>6</v>
      </c>
      <c r="V5" s="202">
        <v>6</v>
      </c>
      <c r="W5" s="203">
        <v>5</v>
      </c>
      <c r="X5" s="203">
        <v>5</v>
      </c>
      <c r="Y5" s="203">
        <v>5</v>
      </c>
      <c r="Z5" s="203">
        <v>5</v>
      </c>
      <c r="AA5"/>
      <c r="AB5"/>
      <c r="AC5"/>
      <c r="AD5"/>
      <c r="AE5"/>
      <c r="AF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</row>
    <row r="6" spans="1:258" s="20" customFormat="1" ht="15" customHeight="1" thickBot="1">
      <c r="B6" s="21"/>
      <c r="C6" s="22"/>
      <c r="D6" s="23"/>
      <c r="E6" s="23"/>
      <c r="F6" s="24"/>
      <c r="G6" s="6"/>
      <c r="Q6" s="206"/>
      <c r="R6" s="191">
        <v>2021</v>
      </c>
      <c r="S6" s="191">
        <v>6</v>
      </c>
      <c r="T6" s="191">
        <v>6</v>
      </c>
      <c r="U6" s="191">
        <v>6</v>
      </c>
      <c r="V6" s="189">
        <v>5</v>
      </c>
      <c r="W6" s="191">
        <v>5</v>
      </c>
      <c r="X6" s="191">
        <v>5</v>
      </c>
      <c r="Y6" s="195">
        <v>5</v>
      </c>
      <c r="Z6" s="191">
        <v>5</v>
      </c>
    </row>
    <row r="7" spans="1:258" ht="15" customHeight="1" thickBot="1">
      <c r="A7"/>
      <c r="B7" s="3" t="s">
        <v>21</v>
      </c>
      <c r="C7" s="25">
        <v>430000</v>
      </c>
      <c r="D7" s="26"/>
      <c r="E7" s="23"/>
      <c r="F7" s="24"/>
      <c r="G7"/>
      <c r="H7"/>
      <c r="I7"/>
      <c r="J7"/>
      <c r="K7"/>
      <c r="P7" s="5"/>
      <c r="Q7" s="207"/>
      <c r="R7" s="200">
        <v>2020</v>
      </c>
      <c r="S7" s="191">
        <v>5</v>
      </c>
      <c r="T7" s="191">
        <v>5</v>
      </c>
      <c r="U7" s="191">
        <v>5</v>
      </c>
      <c r="V7" s="200">
        <v>4</v>
      </c>
      <c r="W7" s="200">
        <v>4</v>
      </c>
      <c r="X7" s="200">
        <v>4</v>
      </c>
      <c r="Y7" s="201">
        <v>4</v>
      </c>
      <c r="Z7" s="200">
        <v>4</v>
      </c>
      <c r="AG7" s="5"/>
      <c r="AH7" s="5"/>
      <c r="BM7"/>
      <c r="BN7"/>
      <c r="BO7"/>
    </row>
    <row r="8" spans="1:258" ht="21.75" customHeight="1" thickBot="1">
      <c r="A8"/>
      <c r="B8"/>
      <c r="C8"/>
      <c r="D8"/>
      <c r="E8"/>
      <c r="F8"/>
      <c r="G8"/>
      <c r="H8"/>
      <c r="I8"/>
      <c r="J8"/>
      <c r="K8"/>
      <c r="P8" s="5"/>
      <c r="Q8" s="207"/>
      <c r="R8" s="189">
        <v>2019</v>
      </c>
      <c r="S8" s="200">
        <v>4</v>
      </c>
      <c r="T8" s="200">
        <v>4</v>
      </c>
      <c r="U8" s="200">
        <v>4</v>
      </c>
      <c r="V8" s="189">
        <v>3</v>
      </c>
      <c r="W8" s="189">
        <v>3</v>
      </c>
      <c r="X8" s="189">
        <v>3</v>
      </c>
      <c r="Y8" s="201">
        <v>3</v>
      </c>
      <c r="Z8" s="189">
        <v>3</v>
      </c>
      <c r="AG8" s="5"/>
      <c r="AH8" s="5"/>
      <c r="BM8"/>
      <c r="BN8"/>
      <c r="BO8"/>
    </row>
    <row r="9" spans="1:258" ht="21.75" customHeight="1">
      <c r="A9" s="27" t="s">
        <v>22</v>
      </c>
      <c r="B9" s="28"/>
      <c r="C9"/>
      <c r="D9"/>
      <c r="E9"/>
      <c r="F9" s="29"/>
      <c r="G9" s="30" t="s">
        <v>1</v>
      </c>
      <c r="H9" s="31" t="s">
        <v>2</v>
      </c>
      <c r="I9" s="31" t="s">
        <v>3</v>
      </c>
      <c r="J9" s="31" t="s">
        <v>4</v>
      </c>
      <c r="K9" s="32" t="s">
        <v>5</v>
      </c>
      <c r="P9" s="5"/>
      <c r="Q9" s="207"/>
      <c r="R9" s="189">
        <v>2018</v>
      </c>
      <c r="S9" s="189">
        <v>3</v>
      </c>
      <c r="T9" s="189">
        <v>3</v>
      </c>
      <c r="U9" s="189">
        <v>3</v>
      </c>
      <c r="V9" s="189">
        <v>2</v>
      </c>
      <c r="W9" s="189">
        <v>2</v>
      </c>
      <c r="X9" s="189">
        <v>2</v>
      </c>
      <c r="Y9" s="201">
        <v>2</v>
      </c>
      <c r="Z9" s="189">
        <v>2</v>
      </c>
      <c r="AG9" s="5"/>
      <c r="AH9" s="5"/>
      <c r="BM9"/>
      <c r="BN9"/>
      <c r="BO9"/>
    </row>
    <row r="10" spans="1:258" ht="22.5" customHeight="1">
      <c r="A10" s="33"/>
      <c r="B10" s="204"/>
      <c r="C10" s="204"/>
      <c r="D10" s="204"/>
      <c r="E10"/>
      <c r="F10" s="34" t="s">
        <v>0</v>
      </c>
      <c r="G10" s="35" t="str">
        <f>IF(試算シート!F59="","",試算シート!F59)</f>
        <v/>
      </c>
      <c r="H10" s="36">
        <f>試算シート!F60</f>
        <v>0</v>
      </c>
      <c r="I10" s="36">
        <f>試算シート!F61</f>
        <v>0</v>
      </c>
      <c r="J10" s="36">
        <f>試算シート!F62</f>
        <v>0</v>
      </c>
      <c r="K10" s="37">
        <f>試算シート!F63</f>
        <v>0</v>
      </c>
      <c r="P10" s="5"/>
      <c r="Q10" s="207"/>
      <c r="R10" s="189">
        <v>2017</v>
      </c>
      <c r="S10" s="189">
        <v>2</v>
      </c>
      <c r="T10" s="189">
        <v>2</v>
      </c>
      <c r="U10" s="189">
        <v>2</v>
      </c>
      <c r="V10" s="189">
        <v>1</v>
      </c>
      <c r="W10" s="189">
        <v>1</v>
      </c>
      <c r="X10" s="189">
        <v>1</v>
      </c>
      <c r="Y10" s="201">
        <v>1</v>
      </c>
      <c r="Z10" s="189">
        <v>1</v>
      </c>
      <c r="AG10" s="5"/>
      <c r="AH10" s="5"/>
      <c r="BM10"/>
      <c r="BN10"/>
      <c r="BO10"/>
    </row>
    <row r="11" spans="1:258" ht="21.75" customHeight="1">
      <c r="A11"/>
      <c r="B11" s="204"/>
      <c r="C11" s="204"/>
      <c r="D11" s="276"/>
      <c r="E11" s="277"/>
      <c r="F11" s="278" t="s">
        <v>146</v>
      </c>
      <c r="G11" s="38">
        <f>IF(G10="",0,1)</f>
        <v>0</v>
      </c>
      <c r="H11" s="39">
        <f>IF(LEN(試算シート!F60)&gt;0,1,0)</f>
        <v>0</v>
      </c>
      <c r="I11" s="39">
        <f>IF(LEN(試算シート!F61)&gt;0,1,0)</f>
        <v>0</v>
      </c>
      <c r="J11" s="39">
        <f>IF(LEN(試算シート!F62)&gt;0,1,0)</f>
        <v>0</v>
      </c>
      <c r="K11" s="40">
        <f>IF(LEN(試算シート!F63)&gt;0,1,0)</f>
        <v>0</v>
      </c>
      <c r="P11" s="5"/>
      <c r="Q11" s="207"/>
      <c r="R11" s="189">
        <v>2016</v>
      </c>
      <c r="S11" s="189">
        <v>1</v>
      </c>
      <c r="T11" s="189">
        <v>1</v>
      </c>
      <c r="U11" s="189">
        <v>1</v>
      </c>
      <c r="V11" s="187" t="s">
        <v>132</v>
      </c>
      <c r="W11" s="187" t="s">
        <v>133</v>
      </c>
      <c r="X11" s="187" t="s">
        <v>134</v>
      </c>
      <c r="Y11" s="192" t="s">
        <v>135</v>
      </c>
      <c r="Z11" s="187" t="s">
        <v>136</v>
      </c>
      <c r="AG11" s="5"/>
      <c r="AH11" s="5"/>
      <c r="BM11"/>
      <c r="BN11"/>
      <c r="BO11"/>
    </row>
    <row r="12" spans="1:258" ht="21.75" customHeight="1" thickBot="1">
      <c r="A12"/>
      <c r="B12"/>
      <c r="C12"/>
      <c r="D12"/>
      <c r="E12"/>
      <c r="F12" s="34" t="s">
        <v>23</v>
      </c>
      <c r="G12" s="41">
        <f>IF(G11=0,0,IF(G10&lt;39,0,IF(G10&lt;65,1,0)))</f>
        <v>0</v>
      </c>
      <c r="H12" s="42">
        <f>IF(H11=0,0,IF(H10&lt;39,0,IF(H10&lt;65,1,0)))</f>
        <v>0</v>
      </c>
      <c r="I12" s="42">
        <f>IF(I11=0,0,IF(I10&lt;39,0,IF(I10&lt;65,1,0)))</f>
        <v>0</v>
      </c>
      <c r="J12" s="42">
        <f>IF(J11=0,0,IF(J10&lt;39,0,IF(J10&lt;65,1,0)))</f>
        <v>0</v>
      </c>
      <c r="K12" s="43">
        <f>IF(K11=0,0,IF(K10&lt;39,0,IF(K10&lt;65,1,0)))</f>
        <v>0</v>
      </c>
      <c r="P12" s="5"/>
      <c r="Q12" s="207"/>
      <c r="R12" s="189">
        <v>2015</v>
      </c>
      <c r="S12" s="187" t="s">
        <v>132</v>
      </c>
      <c r="T12" s="187" t="s">
        <v>134</v>
      </c>
      <c r="U12" s="187" t="s">
        <v>135</v>
      </c>
      <c r="V12" s="190"/>
      <c r="W12" s="190"/>
      <c r="X12" s="190"/>
      <c r="Y12" s="190"/>
      <c r="Z12" s="189"/>
      <c r="AG12" s="5"/>
      <c r="AH12" s="5"/>
      <c r="BM12"/>
      <c r="BN12"/>
      <c r="BO12"/>
    </row>
    <row r="13" spans="1:258" ht="21.75" customHeight="1" thickBot="1">
      <c r="A13"/>
      <c r="B13"/>
      <c r="C13"/>
      <c r="D13"/>
      <c r="E13"/>
      <c r="F13" s="34" t="s">
        <v>24</v>
      </c>
      <c r="G13" s="182">
        <f>IF(OR(G$36&gt;0,G$59&gt;0),1,0)</f>
        <v>0</v>
      </c>
      <c r="H13" s="183">
        <f>H$11*IF(OR(H$36&gt;0,H$59&gt;0),1,0)</f>
        <v>0</v>
      </c>
      <c r="I13" s="183">
        <f>I$11*IF(OR(I$36&gt;0,I$59&gt;0),1,0)</f>
        <v>0</v>
      </c>
      <c r="J13" s="183">
        <f>J$11*IF(OR(J$36&gt;0,J$59&gt;0),1,0)</f>
        <v>0</v>
      </c>
      <c r="K13" s="184">
        <f>K$11*IF(OR(K$36&gt;0,K$59&gt;0),1,0)</f>
        <v>0</v>
      </c>
      <c r="P13" s="5"/>
      <c r="Q13" s="207"/>
      <c r="R13" s="208"/>
      <c r="S13" s="208"/>
      <c r="T13" s="208"/>
      <c r="U13" s="208"/>
      <c r="V13" s="208"/>
      <c r="W13" s="208"/>
      <c r="X13" s="208"/>
      <c r="Y13" s="208"/>
      <c r="Z13" s="208"/>
      <c r="AG13" s="5"/>
      <c r="AH13" s="5"/>
      <c r="BM13"/>
      <c r="BN13"/>
      <c r="BO13"/>
    </row>
    <row r="14" spans="1:258" ht="21.75" customHeight="1" thickBot="1">
      <c r="A14"/>
      <c r="B14"/>
      <c r="C14"/>
      <c r="D14"/>
      <c r="E14"/>
      <c r="F14"/>
      <c r="G14"/>
      <c r="H14"/>
      <c r="I14"/>
      <c r="J14"/>
      <c r="K14"/>
      <c r="BM14"/>
    </row>
    <row r="15" spans="1:258" ht="22.5" customHeight="1">
      <c r="A15" s="511" t="s">
        <v>25</v>
      </c>
      <c r="B15" s="511"/>
      <c r="C15"/>
      <c r="D15"/>
      <c r="E15"/>
      <c r="F15"/>
      <c r="G15" s="30" t="s">
        <v>1</v>
      </c>
      <c r="H15" s="31" t="s">
        <v>2</v>
      </c>
      <c r="I15" s="31" t="s">
        <v>3</v>
      </c>
      <c r="J15" s="31" t="s">
        <v>4</v>
      </c>
      <c r="K15" s="32" t="s">
        <v>5</v>
      </c>
      <c r="BM15"/>
    </row>
    <row r="16" spans="1:258" ht="22.5" customHeight="1" thickBot="1">
      <c r="A16" s="47"/>
      <c r="B16" s="33"/>
      <c r="C16"/>
      <c r="D16"/>
      <c r="E16"/>
      <c r="F16" s="48" t="s">
        <v>26</v>
      </c>
      <c r="G16" s="49">
        <f>試算シート!K59</f>
        <v>0</v>
      </c>
      <c r="H16" s="50">
        <f>試算シート!K60</f>
        <v>0</v>
      </c>
      <c r="I16" s="50">
        <f>試算シート!K61</f>
        <v>0</v>
      </c>
      <c r="J16" s="50">
        <f>試算シート!K62</f>
        <v>0</v>
      </c>
      <c r="K16" s="51">
        <f>試算シート!K63</f>
        <v>0</v>
      </c>
      <c r="BM16"/>
    </row>
    <row r="17" spans="1:65" ht="22.5" customHeight="1" thickBot="1">
      <c r="A17" s="47"/>
      <c r="B17" s="33"/>
      <c r="C17"/>
      <c r="D17"/>
      <c r="E17"/>
      <c r="F17" s="48" t="s">
        <v>27</v>
      </c>
      <c r="G17" s="176">
        <f>IF(試算シート!AA59="〇",1,0)</f>
        <v>0</v>
      </c>
      <c r="H17" s="177">
        <f>IF(試算シート!AA60="〇",1,0)</f>
        <v>0</v>
      </c>
      <c r="I17" s="177">
        <f>IF(試算シート!AA61="〇",1,0)</f>
        <v>0</v>
      </c>
      <c r="J17" s="177">
        <f>IF(試算シート!AA62="〇",1,0)</f>
        <v>0</v>
      </c>
      <c r="K17" s="178">
        <f>IF(試算シート!AA63="〇",1,0)</f>
        <v>0</v>
      </c>
      <c r="BM17"/>
    </row>
    <row r="18" spans="1:65" ht="15" thickBot="1">
      <c r="A18"/>
      <c r="B18" s="52" t="s">
        <v>28</v>
      </c>
      <c r="C18" s="53" t="s">
        <v>29</v>
      </c>
      <c r="D18" s="505" t="s">
        <v>30</v>
      </c>
      <c r="E18" s="505"/>
      <c r="F18" s="505"/>
      <c r="G18" s="514" t="s">
        <v>31</v>
      </c>
      <c r="H18" s="514"/>
      <c r="I18" s="514"/>
      <c r="J18" s="514"/>
      <c r="K18" s="514"/>
      <c r="BM18"/>
    </row>
    <row r="19" spans="1:65">
      <c r="A19"/>
      <c r="B19" s="279">
        <v>1</v>
      </c>
      <c r="C19" s="280">
        <v>650000</v>
      </c>
      <c r="D19" s="484">
        <v>0</v>
      </c>
      <c r="E19" s="484"/>
      <c r="F19" s="484"/>
      <c r="G19" s="56" t="str">
        <f>IF(AND(G$16&gt;=$B19,G$16&lt;=$C19),$D19,"-")</f>
        <v>-</v>
      </c>
      <c r="H19" s="56" t="str">
        <f t="shared" ref="H19:K19" si="0">IF(AND(H$16&gt;=$B19,H$16&lt;=$C19),$D19,"-")</f>
        <v>-</v>
      </c>
      <c r="I19" s="56" t="str">
        <f t="shared" si="0"/>
        <v>-</v>
      </c>
      <c r="J19" s="56" t="str">
        <f t="shared" si="0"/>
        <v>-</v>
      </c>
      <c r="K19" s="295" t="str">
        <f t="shared" si="0"/>
        <v>-</v>
      </c>
      <c r="BM19"/>
    </row>
    <row r="20" spans="1:65">
      <c r="A20"/>
      <c r="B20" s="261">
        <v>650001</v>
      </c>
      <c r="C20" s="262">
        <v>1900000</v>
      </c>
      <c r="D20" s="512">
        <v>-650000</v>
      </c>
      <c r="E20" s="512"/>
      <c r="F20" s="512"/>
      <c r="G20" s="281" t="str">
        <f>IF(AND(G$16&gt;=$B20,G$16&lt;=$C20),G$16+$D20,"-")</f>
        <v>-</v>
      </c>
      <c r="H20" s="281" t="str">
        <f>IF(AND(H$16&gt;=$B20,H$16&lt;=$C20),H$16+$D20,"-")</f>
        <v>-</v>
      </c>
      <c r="I20" s="281" t="str">
        <f>IF(AND(I$16&gt;=$B20,I$16&lt;=$C20),I$16+$D20,"-")</f>
        <v>-</v>
      </c>
      <c r="J20" s="281" t="str">
        <f>IF(AND(J$16&gt;=$B20,J$16&lt;=$C20),J$16+$D20,"-")</f>
        <v>-</v>
      </c>
      <c r="K20" s="282" t="str">
        <f>IF(AND(K$16&gt;=$B20,K$16&lt;=$C20),K$16+$D20,"-")</f>
        <v>-</v>
      </c>
      <c r="BM20"/>
    </row>
    <row r="21" spans="1:65">
      <c r="A21"/>
      <c r="B21" s="263">
        <v>1900001</v>
      </c>
      <c r="C21" s="264">
        <v>3600000</v>
      </c>
      <c r="D21" s="286">
        <v>4000</v>
      </c>
      <c r="E21" s="292">
        <v>0.7</v>
      </c>
      <c r="F21" s="289">
        <v>-80000</v>
      </c>
      <c r="G21" s="174" t="str">
        <f t="shared" ref="G21:K22" si="1">IF(AND(G$16&gt;=$B21,G$16&lt;=$C21),ROUNDDOWN(G$16/$D21,0)*$D21*$E21+$F21,"-")</f>
        <v>-</v>
      </c>
      <c r="H21" s="174" t="str">
        <f t="shared" si="1"/>
        <v>-</v>
      </c>
      <c r="I21" s="174" t="str">
        <f t="shared" si="1"/>
        <v>-</v>
      </c>
      <c r="J21" s="174" t="str">
        <f t="shared" si="1"/>
        <v>-</v>
      </c>
      <c r="K21" s="175" t="str">
        <f t="shared" si="1"/>
        <v>-</v>
      </c>
      <c r="BM21"/>
    </row>
    <row r="22" spans="1:65">
      <c r="A22"/>
      <c r="B22" s="263">
        <v>3600001</v>
      </c>
      <c r="C22" s="264">
        <v>6600000</v>
      </c>
      <c r="D22" s="287">
        <v>4000</v>
      </c>
      <c r="E22" s="293">
        <v>0.8</v>
      </c>
      <c r="F22" s="290">
        <v>-440000</v>
      </c>
      <c r="G22" s="267" t="str">
        <f t="shared" si="1"/>
        <v>-</v>
      </c>
      <c r="H22" s="267" t="str">
        <f t="shared" si="1"/>
        <v>-</v>
      </c>
      <c r="I22" s="267" t="str">
        <f t="shared" si="1"/>
        <v>-</v>
      </c>
      <c r="J22" s="267" t="str">
        <f t="shared" si="1"/>
        <v>-</v>
      </c>
      <c r="K22" s="268" t="str">
        <f t="shared" si="1"/>
        <v>-</v>
      </c>
      <c r="BM22"/>
    </row>
    <row r="23" spans="1:65">
      <c r="A23"/>
      <c r="B23" s="265">
        <v>6600001</v>
      </c>
      <c r="C23" s="266">
        <v>8500000</v>
      </c>
      <c r="D23" s="288">
        <v>0.9</v>
      </c>
      <c r="E23" s="294"/>
      <c r="F23" s="291">
        <v>-1100000</v>
      </c>
      <c r="G23" s="269" t="str">
        <f>IF(AND(G$16&gt;=$B23,G$16&lt;=$C23),G$16*$D23+$F23,"-")</f>
        <v>-</v>
      </c>
      <c r="H23" s="269" t="str">
        <f>IF(AND(H$16&gt;=$B23,H$16&lt;=$C23),H$16*$D23+$F23,"-")</f>
        <v>-</v>
      </c>
      <c r="I23" s="269" t="str">
        <f>IF(AND(I$16&gt;=$B23,I$16&lt;=$C23),I$16*$D23+$F23,"-")</f>
        <v>-</v>
      </c>
      <c r="J23" s="269" t="str">
        <f>IF(AND(J$16&gt;=$B23,J$16&lt;=$C23),J$16*$D23+$F23,"-")</f>
        <v>-</v>
      </c>
      <c r="K23" s="270" t="str">
        <f>IF(AND(K$16&gt;=$B23,K$16&lt;=$C23),K$16*$D23+$F23,"-")</f>
        <v>-</v>
      </c>
      <c r="BM23"/>
    </row>
    <row r="24" spans="1:65">
      <c r="A24"/>
      <c r="B24" s="225">
        <v>8500001</v>
      </c>
      <c r="C24" s="226">
        <v>10000000</v>
      </c>
      <c r="D24" s="227">
        <v>-1950000</v>
      </c>
      <c r="E24" s="227"/>
      <c r="F24" s="228">
        <v>-0.1</v>
      </c>
      <c r="G24" s="179" t="str">
        <f>IF(AND(G$16&gt;=$B24,G$16&lt;=$C24),G$16+$D24+(G$17*(G$16-8500000)*$F24),"-")</f>
        <v>-</v>
      </c>
      <c r="H24" s="179" t="str">
        <f t="shared" ref="H24:K24" si="2">IF(AND(H$16&gt;=$B24,H$16&lt;=$C24),H$16+$D24+(H$17*(H$16-8500000)*$F24),"-")</f>
        <v>-</v>
      </c>
      <c r="I24" s="179" t="str">
        <f t="shared" si="2"/>
        <v>-</v>
      </c>
      <c r="J24" s="179" t="str">
        <f t="shared" si="2"/>
        <v>-</v>
      </c>
      <c r="K24" s="179" t="str">
        <f t="shared" si="2"/>
        <v>-</v>
      </c>
      <c r="BM24"/>
    </row>
    <row r="25" spans="1:65" ht="14.25" thickBot="1">
      <c r="A25"/>
      <c r="B25" s="229">
        <v>10000001</v>
      </c>
      <c r="C25" s="230"/>
      <c r="D25" s="231">
        <v>-1950000</v>
      </c>
      <c r="E25" s="231"/>
      <c r="F25" s="231">
        <v>-150000</v>
      </c>
      <c r="G25" s="180" t="str">
        <f>IF(G$16&gt;=$B25,G$16+$D25+G$17*$F25,"-")</f>
        <v>-</v>
      </c>
      <c r="H25" s="180" t="str">
        <f t="shared" ref="H25:J25" si="3">IF(H$16&gt;=$B25,H$16+$D25+H$17*$F25,"-")</f>
        <v>-</v>
      </c>
      <c r="I25" s="180" t="str">
        <f t="shared" si="3"/>
        <v>-</v>
      </c>
      <c r="J25" s="180" t="str">
        <f t="shared" si="3"/>
        <v>-</v>
      </c>
      <c r="K25" s="181" t="str">
        <f>IF(K$16&gt;=$B25,K$16+$D25+K$17*$F25,"-")</f>
        <v>-</v>
      </c>
      <c r="BM25"/>
    </row>
    <row r="26" spans="1:65" ht="22.5" customHeight="1" thickBot="1">
      <c r="A26"/>
      <c r="B26"/>
      <c r="C26"/>
      <c r="D26"/>
      <c r="E26"/>
      <c r="F26" s="48" t="s">
        <v>32</v>
      </c>
      <c r="G26" s="283">
        <f>SUM(G19:G25)</f>
        <v>0</v>
      </c>
      <c r="H26" s="285">
        <f t="shared" ref="H26:K26" si="4">SUM(H19:H25)</f>
        <v>0</v>
      </c>
      <c r="I26" s="285">
        <f t="shared" si="4"/>
        <v>0</v>
      </c>
      <c r="J26" s="285">
        <f t="shared" si="4"/>
        <v>0</v>
      </c>
      <c r="K26" s="284">
        <f t="shared" si="4"/>
        <v>0</v>
      </c>
      <c r="BM26"/>
    </row>
    <row r="27" spans="1:65" ht="22.5" customHeight="1" thickBot="1">
      <c r="A27"/>
      <c r="B27"/>
      <c r="C27"/>
      <c r="D27"/>
      <c r="E27"/>
      <c r="F27"/>
      <c r="G27"/>
      <c r="H27"/>
      <c r="I27"/>
      <c r="J27"/>
      <c r="K27"/>
      <c r="BM27"/>
    </row>
    <row r="28" spans="1:65" ht="22.5" customHeight="1">
      <c r="A28" s="511" t="s">
        <v>33</v>
      </c>
      <c r="B28" s="511"/>
      <c r="C28"/>
      <c r="D28" s="34" t="s">
        <v>34</v>
      </c>
      <c r="E28" s="61" t="s">
        <v>35</v>
      </c>
      <c r="F28" s="62" t="s">
        <v>36</v>
      </c>
      <c r="G28" s="63">
        <f>G26+G65</f>
        <v>0</v>
      </c>
      <c r="H28" s="63">
        <f>H26+H65</f>
        <v>0</v>
      </c>
      <c r="I28" s="63">
        <f>I26+I65</f>
        <v>0</v>
      </c>
      <c r="J28" s="63">
        <f>J26+J65</f>
        <v>0</v>
      </c>
      <c r="K28" s="64">
        <f>K26+K65</f>
        <v>0</v>
      </c>
      <c r="BM28"/>
    </row>
    <row r="29" spans="1:65" ht="22.5" customHeight="1">
      <c r="A29"/>
      <c r="B29"/>
      <c r="C29" t="s">
        <v>141</v>
      </c>
      <c r="D29"/>
      <c r="E29" s="65"/>
      <c r="F29" s="66">
        <v>10000000</v>
      </c>
      <c r="G29" s="67">
        <f>IF(G$28&lt;=$F29,1,0)</f>
        <v>1</v>
      </c>
      <c r="H29" s="67">
        <f>IF(H$28&lt;=$F29,1,0)</f>
        <v>1</v>
      </c>
      <c r="I29" s="67">
        <f>IF(I$28&lt;=$F29,1,0)</f>
        <v>1</v>
      </c>
      <c r="J29" s="67">
        <f>IF(J$28&lt;=$F29,1,0)</f>
        <v>1</v>
      </c>
      <c r="K29" s="68">
        <f>IF(K$28&lt;=$F29,1,0)</f>
        <v>1</v>
      </c>
      <c r="BM29"/>
    </row>
    <row r="30" spans="1:65" ht="22.5" customHeight="1">
      <c r="A30"/>
      <c r="B30"/>
      <c r="C30"/>
      <c r="D30"/>
      <c r="E30" s="65">
        <v>10000001</v>
      </c>
      <c r="F30" s="66">
        <v>20000000</v>
      </c>
      <c r="G30" s="67">
        <f>IF(AND(G$28&gt;=$E30,G$28&lt;=$F30),1,0)</f>
        <v>0</v>
      </c>
      <c r="H30" s="67">
        <f>IF(AND(H$28&gt;=$E30,H$28&lt;=$F30),1,0)</f>
        <v>0</v>
      </c>
      <c r="I30" s="67">
        <f>IF(AND(I$28&gt;=$E30,I$28&lt;=$F30),1,0)</f>
        <v>0</v>
      </c>
      <c r="J30" s="67">
        <f>IF(AND(J$28&gt;=$E30,J$28&lt;=$F30),1,0)</f>
        <v>0</v>
      </c>
      <c r="K30" s="68">
        <f>IF(AND(K$28&gt;=$E30,K$28&lt;=$F30),1,0)</f>
        <v>0</v>
      </c>
      <c r="BM30"/>
    </row>
    <row r="31" spans="1:65" ht="22.5" customHeight="1" thickBot="1">
      <c r="A31"/>
      <c r="B31"/>
      <c r="C31"/>
      <c r="D31"/>
      <c r="E31" s="69">
        <v>20000001</v>
      </c>
      <c r="F31" s="70"/>
      <c r="G31" s="42">
        <f>IF(G$28&gt;=$E31,1,0)</f>
        <v>0</v>
      </c>
      <c r="H31" s="42">
        <f>IF(H$28&gt;=$E31,1,0)</f>
        <v>0</v>
      </c>
      <c r="I31" s="42">
        <f>IF(I$28&gt;=$E31,1,0)</f>
        <v>0</v>
      </c>
      <c r="J31" s="42">
        <f>IF(J$28&gt;=$E31,1,0)</f>
        <v>0</v>
      </c>
      <c r="K31" s="43">
        <f>IF(K$28&gt;=$E31,1,0)</f>
        <v>0</v>
      </c>
      <c r="BM31"/>
    </row>
    <row r="32" spans="1:65" ht="22.5" customHeight="1">
      <c r="A32"/>
      <c r="B32"/>
      <c r="C32"/>
      <c r="D32"/>
      <c r="E32"/>
      <c r="F32"/>
      <c r="G32"/>
      <c r="H32"/>
      <c r="I32"/>
      <c r="J32"/>
      <c r="K32"/>
      <c r="BM32"/>
    </row>
    <row r="33" spans="1:65" ht="22.5" customHeight="1" thickBot="1">
      <c r="A33" s="511" t="s">
        <v>37</v>
      </c>
      <c r="B33" s="511"/>
      <c r="C33"/>
      <c r="D33"/>
      <c r="E33"/>
      <c r="F33"/>
      <c r="G33"/>
      <c r="H33"/>
      <c r="I33"/>
      <c r="J33"/>
      <c r="K33"/>
      <c r="BM33"/>
    </row>
    <row r="34" spans="1:65" ht="22.5" customHeight="1" thickBot="1">
      <c r="A34"/>
      <c r="B34"/>
      <c r="C34" s="501" t="s">
        <v>38</v>
      </c>
      <c r="D34" s="501"/>
      <c r="E34" s="501"/>
      <c r="F34" s="232">
        <v>100000</v>
      </c>
      <c r="G34" s="72">
        <f>IF(G$26&gt;0,1,0)*IF(G$59&gt;0,1,0)*IF(G$26+G$59&gt;$F34,1,0)</f>
        <v>0</v>
      </c>
      <c r="H34" s="73">
        <f>IF(H$26&gt;0,1,0)*IF(H$59&gt;0,1,0)*IF(H$26+H$59&gt;$F34,1,0)</f>
        <v>0</v>
      </c>
      <c r="I34" s="73">
        <f>IF(I$26&gt;0,1,0)*IF(I$59&gt;0,1,0)*IF(I$26+I$59&gt;$F34,1,0)</f>
        <v>0</v>
      </c>
      <c r="J34" s="73">
        <f>IF(J$26&gt;0,1,0)*IF(J$59&gt;0,1,0)*IF(J$26+J$59&gt;$F34,1,0)</f>
        <v>0</v>
      </c>
      <c r="K34" s="74">
        <f>IF(K$26&gt;0,1,0)*IF(K$59&gt;0,1,0)*IF(K$26+K$59&gt;$F34,1,0)</f>
        <v>0</v>
      </c>
      <c r="BM34"/>
    </row>
    <row r="35" spans="1:65" ht="22.5" customHeight="1" thickBot="1">
      <c r="A35"/>
      <c r="B35"/>
      <c r="C35" s="501" t="s">
        <v>39</v>
      </c>
      <c r="D35" s="501"/>
      <c r="E35" s="501"/>
      <c r="F35" s="232">
        <v>100000</v>
      </c>
      <c r="G35" s="75">
        <f>G$34*(MIN(G$26,$F35)+MIN(G$59,$F35)-$F35)</f>
        <v>0</v>
      </c>
      <c r="H35" s="76">
        <f>H$34*(MIN(H$26,$F35)+MIN(H$59,$F35)-$F35)</f>
        <v>0</v>
      </c>
      <c r="I35" s="76">
        <f>I$34*(MIN(I$26,$F35)+MIN(I$59,$F35)-$F35)</f>
        <v>0</v>
      </c>
      <c r="J35" s="76">
        <f>J$34*(MIN(J$26,$F35)+MIN(J$59,$F35)-$F35)</f>
        <v>0</v>
      </c>
      <c r="K35" s="77">
        <f>K$34*(MIN(K$26,$F35)+MIN(K$59,$F35)-$F35)</f>
        <v>0</v>
      </c>
      <c r="BM35"/>
    </row>
    <row r="36" spans="1:65" ht="22.5" customHeight="1" thickBot="1">
      <c r="A36"/>
      <c r="B36"/>
      <c r="C36"/>
      <c r="D36"/>
      <c r="E36"/>
      <c r="F36" s="48" t="s">
        <v>40</v>
      </c>
      <c r="G36" s="58">
        <f>G$26-G$35</f>
        <v>0</v>
      </c>
      <c r="H36" s="59">
        <f>H$26-H$35</f>
        <v>0</v>
      </c>
      <c r="I36" s="59">
        <f>I$26-I$35</f>
        <v>0</v>
      </c>
      <c r="J36" s="59">
        <f>J$26-J$35</f>
        <v>0</v>
      </c>
      <c r="K36" s="60">
        <f>K$26-K$35</f>
        <v>0</v>
      </c>
      <c r="BM36"/>
    </row>
    <row r="37" spans="1:65" ht="22.5" customHeight="1" thickBot="1">
      <c r="A37"/>
      <c r="B37"/>
      <c r="C37"/>
      <c r="D37"/>
      <c r="E37"/>
      <c r="F37"/>
      <c r="G37"/>
      <c r="H37"/>
      <c r="I37"/>
      <c r="J37"/>
      <c r="K37"/>
      <c r="BM37"/>
    </row>
    <row r="38" spans="1:65" ht="22.5" customHeight="1">
      <c r="A38" s="78" t="s">
        <v>41</v>
      </c>
      <c r="B38"/>
      <c r="C38"/>
      <c r="D38"/>
      <c r="E38"/>
      <c r="F38"/>
      <c r="G38" s="30" t="s">
        <v>1</v>
      </c>
      <c r="H38" s="31" t="s">
        <v>2</v>
      </c>
      <c r="I38" s="31" t="s">
        <v>3</v>
      </c>
      <c r="J38" s="31" t="s">
        <v>4</v>
      </c>
      <c r="K38" s="32" t="s">
        <v>5</v>
      </c>
      <c r="BM38"/>
    </row>
    <row r="39" spans="1:65" ht="22.5" customHeight="1">
      <c r="A39" s="33"/>
      <c r="B39"/>
      <c r="C39"/>
      <c r="D39"/>
      <c r="E39"/>
      <c r="F39" s="34" t="s">
        <v>0</v>
      </c>
      <c r="G39" s="79" t="str">
        <f>G10</f>
        <v/>
      </c>
      <c r="H39" s="80">
        <f>H10</f>
        <v>0</v>
      </c>
      <c r="I39" s="80">
        <f>I10</f>
        <v>0</v>
      </c>
      <c r="J39" s="80">
        <f>J10</f>
        <v>0</v>
      </c>
      <c r="K39" s="81">
        <f>K10</f>
        <v>0</v>
      </c>
      <c r="BM39"/>
    </row>
    <row r="40" spans="1:65" ht="22.5" customHeight="1" thickBot="1">
      <c r="A40"/>
      <c r="B40"/>
      <c r="C40"/>
      <c r="D40"/>
      <c r="E40"/>
      <c r="F40" s="48" t="s">
        <v>42</v>
      </c>
      <c r="G40" s="49">
        <f>試算シート!P59</f>
        <v>0</v>
      </c>
      <c r="H40" s="50">
        <f>試算シート!P60</f>
        <v>0</v>
      </c>
      <c r="I40" s="50">
        <f>試算シート!P61</f>
        <v>0</v>
      </c>
      <c r="J40" s="50">
        <f>試算シート!P62</f>
        <v>0</v>
      </c>
      <c r="K40" s="51">
        <f>試算シート!P63</f>
        <v>0</v>
      </c>
      <c r="BM40"/>
    </row>
    <row r="41" spans="1:65" ht="22.5" customHeight="1" thickBot="1">
      <c r="A41" s="47"/>
      <c r="B41" s="504" t="s">
        <v>43</v>
      </c>
      <c r="C41" s="504"/>
      <c r="D41"/>
      <c r="E41" s="82" t="s">
        <v>44</v>
      </c>
      <c r="F41" s="71">
        <v>0</v>
      </c>
      <c r="G41"/>
      <c r="H41"/>
      <c r="I41"/>
      <c r="J41"/>
      <c r="K41"/>
      <c r="BM41"/>
    </row>
    <row r="42" spans="1:65" ht="15" thickBot="1">
      <c r="A42"/>
      <c r="B42" s="83" t="s">
        <v>45</v>
      </c>
      <c r="C42" s="84" t="s">
        <v>46</v>
      </c>
      <c r="D42" s="505" t="s">
        <v>30</v>
      </c>
      <c r="E42" s="505"/>
      <c r="F42" s="505"/>
      <c r="G42" s="506" t="s">
        <v>47</v>
      </c>
      <c r="H42" s="506"/>
      <c r="I42" s="506"/>
      <c r="J42" s="506"/>
      <c r="K42" s="506"/>
      <c r="BM42"/>
    </row>
    <row r="43" spans="1:65" ht="13.5" customHeight="1" thickBot="1">
      <c r="A43" s="507" t="s">
        <v>142</v>
      </c>
      <c r="B43" s="224">
        <v>0</v>
      </c>
      <c r="C43" s="233">
        <v>400000</v>
      </c>
      <c r="D43" s="234">
        <v>0</v>
      </c>
      <c r="E43" s="235">
        <v>0</v>
      </c>
      <c r="F43" s="236">
        <v>0</v>
      </c>
      <c r="G43" s="85" t="str">
        <f>IF(G$10&gt;=65,"-",IF(AND(G$40&gt;=$B43,G$40&lt;=$C43),G$29*$D43+G$30*$E43+G$31*$F43,"-"))</f>
        <v>-</v>
      </c>
      <c r="H43" s="54">
        <f>IF(H$10&gt;=65,"-",IF(AND(H$40&gt;=$B43,H$40&lt;=$C43),H$29*$D43+H$30*$E43+H$31*$F43,"-"))</f>
        <v>0</v>
      </c>
      <c r="I43" s="54">
        <f>IF(I$10&gt;=65,"-",IF(AND(I$40&gt;=$B43,I$40&lt;=$C43),I$29*$D43+I$30*$E43+I$31*$F43,"-"))</f>
        <v>0</v>
      </c>
      <c r="J43" s="54">
        <f>IF(J$10&gt;=65,"-",IF(AND(J$40&gt;=$B43,J$40&lt;=$C43),J$29*$D43+J$30*$E43+J$31*$F43,"-"))</f>
        <v>0</v>
      </c>
      <c r="K43" s="55">
        <f>IF(K$10&gt;=65,"-",IF(AND(K$40&gt;=$B43,K$40&lt;=$C43),K$29*$D43+K$30*$E43+K$31*$F43,"-"))</f>
        <v>0</v>
      </c>
      <c r="BM43"/>
    </row>
    <row r="44" spans="1:65" ht="14.25" thickBot="1">
      <c r="A44" s="508"/>
      <c r="B44" s="225">
        <v>400001</v>
      </c>
      <c r="C44" s="237">
        <v>500000</v>
      </c>
      <c r="D44" s="238">
        <v>0</v>
      </c>
      <c r="E44" s="239">
        <v>0</v>
      </c>
      <c r="F44" s="240">
        <v>-400000</v>
      </c>
      <c r="G44" s="86" t="str">
        <f>IF(G$10&gt;=65,"-",IF(AND(G$40&gt;=$B44,G$40&lt;=$C44),G$29*$D44+G$30*$E44+G$31*(G$40+$F44),"-"))</f>
        <v>-</v>
      </c>
      <c r="H44" s="67" t="str">
        <f>IF(H$10&gt;=65,"-",IF(AND(H$40&gt;=$B44,H$40&lt;=$C44),H$29*$D44+H$30*$E44+H$31*(H$40+$F44),"-"))</f>
        <v>-</v>
      </c>
      <c r="I44" s="67" t="str">
        <f>IF(I$10&gt;=65,"-",IF(AND(I$40&gt;=$B44,I$40&lt;=$C44),I$29*$D44+I$30*$E44+I$31*(I$40+$F44),"-"))</f>
        <v>-</v>
      </c>
      <c r="J44" s="67" t="str">
        <f>IF(J$10&gt;=65,"-",IF(AND(J$40&gt;=$B44,J$40&lt;=$C44),J$29*$D44+J$30*$E44+J$31*(J$40+$F44),"-"))</f>
        <v>-</v>
      </c>
      <c r="K44" s="68" t="str">
        <f>IF(K$10&gt;=65,"-",IF(AND(K$40&gt;=$B44,K$40&lt;=$C44),K$29*$D44+K$30*$E44+K$31*(K$40+$F44),"-"))</f>
        <v>-</v>
      </c>
      <c r="BM44"/>
    </row>
    <row r="45" spans="1:65" ht="14.25" thickBot="1">
      <c r="A45" s="508"/>
      <c r="B45" s="225">
        <v>500001</v>
      </c>
      <c r="C45" s="237">
        <v>600000</v>
      </c>
      <c r="D45" s="238">
        <v>0</v>
      </c>
      <c r="E45" s="239">
        <v>-500000</v>
      </c>
      <c r="F45" s="240">
        <v>-400000</v>
      </c>
      <c r="G45" s="86" t="str">
        <f>IF(G$10&gt;=65,"-",IF(AND(G$40&gt;=$B45,G$40&lt;=$C45),G$29*$D45+G$30*(G$40+$E45)+G$31*(G$40+$F45),"-"))</f>
        <v>-</v>
      </c>
      <c r="H45" s="67" t="str">
        <f>IF(H$10&gt;=65,"-",IF(AND(H$40&gt;=$B45,H$40&lt;=$C45),H$29*$D45+H$30*(H$40+$E45)+H$31*(H$40+$F45),"-"))</f>
        <v>-</v>
      </c>
      <c r="I45" s="67" t="str">
        <f>IF(I$10&gt;=65,"-",IF(AND(I$40&gt;=$B45,I$40&lt;=$C45),I$29*$D45+I$30*(I$40+$E45)+I$31*(I$40+$F45),"-"))</f>
        <v>-</v>
      </c>
      <c r="J45" s="67" t="str">
        <f>IF(J$10&gt;=65,"-",IF(AND(J$40&gt;=$B45,J$40&lt;=$C45),J$29*$D45+J$30*(J$40+$E45)+J$31*(J$40+$F45),"-"))</f>
        <v>-</v>
      </c>
      <c r="K45" s="68" t="str">
        <f>IF(K$10&gt;=65,"-",IF(AND(K$40&gt;=$B45,K$40&lt;=$C45),K$29*$D45+K$30*(K$40+$E45)+K$31*(K$40+$F45),"-"))</f>
        <v>-</v>
      </c>
      <c r="BM45"/>
    </row>
    <row r="46" spans="1:65" ht="14.25" thickBot="1">
      <c r="A46" s="508"/>
      <c r="B46" s="225">
        <v>600001</v>
      </c>
      <c r="C46" s="237">
        <v>1299999</v>
      </c>
      <c r="D46" s="238">
        <v>-600000</v>
      </c>
      <c r="E46" s="239">
        <v>-500000</v>
      </c>
      <c r="F46" s="240">
        <v>-400000</v>
      </c>
      <c r="G46" s="86" t="str">
        <f>IF(G$10&gt;=65,"-",IF(AND(G$40&gt;=$B46,G$40&lt;=$C46),G$29*(G$40+$D46)+G$30*(G$40+$E46)+G$31*(G$40+$F46),"-"))</f>
        <v>-</v>
      </c>
      <c r="H46" s="67" t="str">
        <f>IF(H$10&gt;=65,"-",IF(AND(H$40&gt;=$B46,H$40&lt;=$C46),H$29*(H$40+$D46)+H$30*(H$40+$E46)+H$31*(H$40+$F46),"-"))</f>
        <v>-</v>
      </c>
      <c r="I46" s="67" t="str">
        <f>IF(I$10&gt;=65,"-",IF(AND(I$40&gt;=$B46,I$40&lt;=$C46),I$29*(I$40+$D46)+I$30*(I$40+$E46)+I$31*(I$40+$F46),"-"))</f>
        <v>-</v>
      </c>
      <c r="J46" s="67" t="str">
        <f>IF(J$10&gt;=65,"-",IF(AND(J$40&gt;=$B46,J$40&lt;=$C46),J$29*(J$40+$D46)+J$30*(J$40+$E46)+J$31*(J$40+$F46),"-"))</f>
        <v>-</v>
      </c>
      <c r="K46" s="68" t="str">
        <f>IF(K$10&gt;=65,"-",IF(AND(K$40&gt;=$B46,K$40&lt;=$C46),K$29*(K$40+$D46)+K$30*(K$40+$E46)+K$31*(K$40+$F46),"-"))</f>
        <v>-</v>
      </c>
      <c r="BM46"/>
    </row>
    <row r="47" spans="1:65" ht="14.25" thickBot="1">
      <c r="A47" s="508"/>
      <c r="B47" s="241">
        <v>1300000</v>
      </c>
      <c r="C47" s="242">
        <v>4099999</v>
      </c>
      <c r="D47" s="243">
        <v>-275000</v>
      </c>
      <c r="E47" s="244">
        <v>-175000</v>
      </c>
      <c r="F47" s="245">
        <v>-75000</v>
      </c>
      <c r="G47" s="86" t="str">
        <f>IF(G$10&gt;=65,"-",IF(AND(G$40&gt;=$B47,G$40&lt;=$C47),G$29*(G$40*0.75+$D47)+G$30*(G$40*0.75+$E47)+G$31*(G$40*0.75+$F47),"-"))</f>
        <v>-</v>
      </c>
      <c r="H47" s="67" t="str">
        <f>IF(H$10&gt;=65,"-",IF(AND(H$40&gt;=$B47,H$40&lt;=$C47),H$29*(H$40*0.75+$D47)+H$30*(H$40*0.75+$E47)+H$31*(H$40*0.75+$F47),"-"))</f>
        <v>-</v>
      </c>
      <c r="I47" s="67" t="str">
        <f>IF(I$10&gt;=65,"-",IF(AND(I$40&gt;=$B47,I$40&lt;=$C47),I$29*(I$40*0.75+$D47)+I$30*(I$40*0.75+$E47)+I$31*(I$40*0.75+$F47),"-"))</f>
        <v>-</v>
      </c>
      <c r="J47" s="67" t="str">
        <f>IF(J$10&gt;=65,"-",IF(AND(J$40&gt;=$B47,J$40&lt;=$C47),J$29*(J$40*0.75+$D47)+J$30*(J$40*0.75+$E47)+J$31*(J$40*0.75+$F47),"-"))</f>
        <v>-</v>
      </c>
      <c r="K47" s="68" t="str">
        <f>IF(K$10&gt;=65,"-",IF(AND(K$40&gt;=$B47,K$40&lt;=$C47),K$29*(K$40*0.75+$D47)+K$30*(K$40*0.75+$E47)+K$31*(K$40*0.75+$F47),"-"))</f>
        <v>-</v>
      </c>
      <c r="BM47"/>
    </row>
    <row r="48" spans="1:65" ht="14.25" thickBot="1">
      <c r="A48" s="508"/>
      <c r="B48" s="241">
        <v>4100000</v>
      </c>
      <c r="C48" s="242">
        <v>7699999</v>
      </c>
      <c r="D48" s="243">
        <v>-685000</v>
      </c>
      <c r="E48" s="244">
        <v>-585000</v>
      </c>
      <c r="F48" s="245">
        <v>-485000</v>
      </c>
      <c r="G48" s="86" t="str">
        <f>IF(G$10&gt;=65,"-",IF(AND(G$40&gt;=$B48,G$40&lt;=$C48),G$29*(G$40*0.85+$D48)+G$30*(G$40*0.85+$E48)+G$31*(G$40*0.85+$F48),"-"))</f>
        <v>-</v>
      </c>
      <c r="H48" s="67" t="str">
        <f>IF(H$10&gt;=65,"-",IF(AND(H$40&gt;=$B48,H$40&lt;=$C48),H$29*(H$40*0.85+$D48)+H$30*(H$40*0.85+$E48)+H$31*(H$40*0.85+$F48),"-"))</f>
        <v>-</v>
      </c>
      <c r="I48" s="67" t="str">
        <f>IF(I$10&gt;=65,"-",IF(AND(I$40&gt;=$B48,I$40&lt;=$C48),I$29*(I$40*0.85+$D48)+I$30*(I$40*0.85+$E48)+I$31*(I$40*0.85+$F48),"-"))</f>
        <v>-</v>
      </c>
      <c r="J48" s="67" t="str">
        <f>IF(J$10&gt;=65,"-",IF(AND(J$40&gt;=$B48,J$40&lt;=$C48),J$29*(J$40*0.85+$D48)+J$30*(J$40*0.85+$E48)+J$31*(J$40*0.85+$F48),"-"))</f>
        <v>-</v>
      </c>
      <c r="K48" s="68" t="str">
        <f>IF(K$10&gt;=65,"-",IF(AND(K$40&gt;=$B48,K$40&lt;=$C48),K$29*(K$40*0.85+$D48)+K$30*(K$40*0.85+$E48)+K$31*(K$40*0.85+$F48),"-"))</f>
        <v>-</v>
      </c>
      <c r="BM48"/>
    </row>
    <row r="49" spans="1:65" ht="14.25" thickBot="1">
      <c r="A49" s="508"/>
      <c r="B49" s="241">
        <v>7700000</v>
      </c>
      <c r="C49" s="242">
        <v>9999999</v>
      </c>
      <c r="D49" s="243">
        <v>-1455000</v>
      </c>
      <c r="E49" s="244">
        <v>-1355000</v>
      </c>
      <c r="F49" s="245">
        <v>-1255000</v>
      </c>
      <c r="G49" s="86" t="str">
        <f>IF(G$10&gt;=65,"-",IF(AND(G$40&gt;=$B49,G$40&lt;=$C49),G$29*(G$40*0.95+$D49)+G$30*(G$40*0.95+$E49)+G$31*(G$40*0.95+$F49),"-"))</f>
        <v>-</v>
      </c>
      <c r="H49" s="67" t="str">
        <f>IF(H$10&gt;=65,"-",IF(AND(H$40&gt;=$B49,H$40&lt;=$C49),H$29*(H$40*0.95+$D49)+H$30*(H$40*0.95+$E49)+H$31*(H$40*0.95+$F49),"-"))</f>
        <v>-</v>
      </c>
      <c r="I49" s="67" t="str">
        <f>IF(I$10&gt;=65,"-",IF(AND(I$40&gt;=$B49,I$40&lt;=$C49),I$29*(I$40*0.95+$D49)+I$30*(I$40*0.95+$E49)+I$31*(I$40*0.95+$F49),"-"))</f>
        <v>-</v>
      </c>
      <c r="J49" s="67" t="str">
        <f>IF(J$10&gt;=65,"-",IF(AND(J$40&gt;=$B49,J$40&lt;=$C49),J$29*(J$40*0.95+$D49)+J$30*(J$40*0.95+$E49)+J$31*(J$40*0.95+$F49),"-"))</f>
        <v>-</v>
      </c>
      <c r="K49" s="68" t="str">
        <f>IF(K$10&gt;=65,"-",IF(AND(K$40&gt;=$B49,K$40&lt;=$C49),K$29*(K$40*0.95+$D49)+K$30*(K$40*0.95+$E49)+K$31*(K$40*0.95+$F49),"-"))</f>
        <v>-</v>
      </c>
      <c r="BM49"/>
    </row>
    <row r="50" spans="1:65" ht="14.25" thickBot="1">
      <c r="A50" s="508"/>
      <c r="B50" s="246">
        <v>10000000</v>
      </c>
      <c r="C50" s="247"/>
      <c r="D50" s="229">
        <v>-1955000</v>
      </c>
      <c r="E50" s="248">
        <v>-1855000</v>
      </c>
      <c r="F50" s="249">
        <v>-1755000</v>
      </c>
      <c r="G50" s="41" t="str">
        <f>IF(G$10&gt;=65,"-",IF(G$40&gt;=$B50,G$29*(G$40+$D50)+G$30*(G$40+$E50)+G$31*(G$40+$F50),"-"))</f>
        <v>-</v>
      </c>
      <c r="H50" s="42" t="str">
        <f>IF(H$10&gt;=65,"-",IF(H$40&gt;=$B50,H$29*(H$40+$D50)+H$30*(H$40+$E50)+H$31*(H$40+$F50),"-"))</f>
        <v>-</v>
      </c>
      <c r="I50" s="42" t="str">
        <f>IF(I$10&gt;=65,"-",IF(I$40&gt;=$B50,I$29*(I$40+$D50)+I$30*(I$40+$E50)+I$31*(I$40+$F50),"-"))</f>
        <v>-</v>
      </c>
      <c r="J50" s="42" t="str">
        <f>IF(J$10&gt;=65,"-",IF(J$40&gt;=$B50,J$29*(J$40+$D50)+J$30*(J$40+$E50)+J$31*(J$40+$F50),"-"))</f>
        <v>-</v>
      </c>
      <c r="K50" s="43" t="str">
        <f>IF(K$10&gt;=65,"-",IF(K$40&gt;=$B50,K$29*(K$40+$D50)+K$30*(K$40+$E50)+K$31*(K$40+$F50),"-"))</f>
        <v>-</v>
      </c>
      <c r="BM50"/>
    </row>
    <row r="51" spans="1:65" ht="13.5" customHeight="1" thickBot="1">
      <c r="A51" s="509" t="s">
        <v>143</v>
      </c>
      <c r="B51" s="224">
        <v>0</v>
      </c>
      <c r="C51" s="233">
        <v>900000</v>
      </c>
      <c r="D51" s="234">
        <v>0</v>
      </c>
      <c r="E51" s="235">
        <v>0</v>
      </c>
      <c r="F51" s="236">
        <v>0</v>
      </c>
      <c r="G51" s="87">
        <f>IF(G$10&lt;65,"-",IF(AND(G$40&gt;=$B51,G$40&lt;=$C51),G$29*$D51+G$30*$E51+G$31*$F51,"-"))</f>
        <v>0</v>
      </c>
      <c r="H51" s="88" t="str">
        <f>IF(H$10&lt;65,"-",IF(AND(H$40&gt;=$B51,H$40&lt;=$C51),H$29*$D51+H$30*$E51+H$31*$F51,"-"))</f>
        <v>-</v>
      </c>
      <c r="I51" s="88" t="str">
        <f>IF(I$10&lt;65,"-",IF(AND(I$40&gt;=$B51,I$40&lt;=$C51),I$29*$D51+I$30*$E51+I$31*$F51,"-"))</f>
        <v>-</v>
      </c>
      <c r="J51" s="88" t="str">
        <f>IF(J$10&lt;65,"-",IF(AND(J$40&gt;=$B51,J$40&lt;=$C51),J$29*$D51+J$30*$E51+J$31*$F51,"-"))</f>
        <v>-</v>
      </c>
      <c r="K51" s="89" t="str">
        <f>IF(K$10&lt;65,"-",IF(AND(K$40&gt;=$B51,K$40&lt;=$C51),K$29*$D51+K$30*$E51+K$31*$F51,"-"))</f>
        <v>-</v>
      </c>
      <c r="BM51"/>
    </row>
    <row r="52" spans="1:65" ht="14.25" thickBot="1">
      <c r="A52" s="510"/>
      <c r="B52" s="225">
        <v>900001</v>
      </c>
      <c r="C52" s="237">
        <v>1000000</v>
      </c>
      <c r="D52" s="238">
        <v>0</v>
      </c>
      <c r="E52" s="239">
        <v>0</v>
      </c>
      <c r="F52" s="240">
        <v>-900000</v>
      </c>
      <c r="G52" s="90" t="str">
        <f>IF(G$10&lt;65,"-",IF(AND(G$40&gt;=$B52,G$40&lt;=$C52),G$29*$D52+G$30*$E52+G$31*(G$40+$F52),"-"))</f>
        <v>-</v>
      </c>
      <c r="H52" s="91" t="str">
        <f>IF(H$10&lt;65,"-",IF(AND(H$40&gt;=$B52,H$40&lt;=$C52),H$29*$D52+H$30*$E52+H$31*(H$40+$F52),"-"))</f>
        <v>-</v>
      </c>
      <c r="I52" s="91" t="str">
        <f>IF(I$10&lt;65,"-",IF(AND(I$40&gt;=$B52,I$40&lt;=$C52),I$29*$D52+I$30*$E52+I$31*(I$40+$F52),"-"))</f>
        <v>-</v>
      </c>
      <c r="J52" s="91" t="str">
        <f>IF(J$10&lt;65,"-",IF(AND(J$40&gt;=$B52,J$40&lt;=$C52),J$29*$D52+J$30*$E52+J$31*(J$40+$F52),"-"))</f>
        <v>-</v>
      </c>
      <c r="K52" s="92" t="str">
        <f>IF(K$10&lt;65,"-",IF(AND(K$40&gt;=$B52,K$40&lt;=$C52),K$29*$D52+K$30*$E52+K$31*(K$40+$F52),"-"))</f>
        <v>-</v>
      </c>
      <c r="BM52"/>
    </row>
    <row r="53" spans="1:65" ht="14.25" thickBot="1">
      <c r="A53" s="510"/>
      <c r="B53" s="225">
        <v>1000001</v>
      </c>
      <c r="C53" s="237">
        <v>1100000</v>
      </c>
      <c r="D53" s="238">
        <v>0</v>
      </c>
      <c r="E53" s="239">
        <v>-1000000</v>
      </c>
      <c r="F53" s="240">
        <v>-900000</v>
      </c>
      <c r="G53" s="90" t="str">
        <f>IF(G$10&lt;65,"-",IF(AND(G$40&gt;=$B53,G$40&lt;=$C53),G$29*$D53+G$30*(G$40+$E53)+G$31*(G$40+$F53),"-"))</f>
        <v>-</v>
      </c>
      <c r="H53" s="91" t="str">
        <f>IF(H$10&lt;65,"-",IF(AND(H$40&gt;=$B53,H$40&lt;=$C53),H$29*$D53+H$30*(H$40+$E53)+H$31*(H$40+$F53),"-"))</f>
        <v>-</v>
      </c>
      <c r="I53" s="91" t="str">
        <f>IF(I$10&lt;65,"-",IF(AND(I$40&gt;=$B53,I$40&lt;=$C53),I$29*$D53+I$30*(I$40+$E53)+I$31*(I$40+$F53),"-"))</f>
        <v>-</v>
      </c>
      <c r="J53" s="91" t="str">
        <f>IF(J$10&lt;65,"-",IF(AND(J$40&gt;=$B53,J$40&lt;=$C53),J$29*$D53+J$30*(J$40+$E53)+J$31*(J$40+$F53),"-"))</f>
        <v>-</v>
      </c>
      <c r="K53" s="92" t="str">
        <f>IF(K$10&lt;65,"-",IF(AND(K$40&gt;=$B53,K$40&lt;=$C53),K$29*$D53+K$30*(K$40+$E53)+K$31*(K$40+$F53),"-"))</f>
        <v>-</v>
      </c>
      <c r="BM53"/>
    </row>
    <row r="54" spans="1:65" ht="14.25" thickBot="1">
      <c r="A54" s="510"/>
      <c r="B54" s="225">
        <v>1100001</v>
      </c>
      <c r="C54" s="237">
        <v>3299999</v>
      </c>
      <c r="D54" s="238">
        <v>-1100000</v>
      </c>
      <c r="E54" s="239">
        <v>-1000000</v>
      </c>
      <c r="F54" s="240">
        <v>-900000</v>
      </c>
      <c r="G54" s="90" t="str">
        <f>IF(G$10&lt;65,"-",IF(AND(G$40&gt;=$B54,G$40&lt;=$C54),G$29*(G$40+$D54)+G$30*(G$40+$E54)+G$31*(G$40+$F54),"-"))</f>
        <v>-</v>
      </c>
      <c r="H54" s="91" t="str">
        <f>IF(H$10&lt;65,"-",IF(AND(H$40&gt;=$B54,H$40&lt;=$C54),H$29*(H$40+$D54)+H$30*(H$40+$E54)+H$31*(H$40+$F54),"-"))</f>
        <v>-</v>
      </c>
      <c r="I54" s="91" t="str">
        <f>IF(I$10&lt;65,"-",IF(AND(I$40&gt;=$B54,I$40&lt;=$C54),I$29*(I$40+$D54)+I$30*(I$40+$E54)+I$31*(I$40+$F54),"-"))</f>
        <v>-</v>
      </c>
      <c r="J54" s="91" t="str">
        <f>IF(J$10&lt;65,"-",IF(AND(J$40&gt;=$B54,J$40&lt;=$C54),J$29*(J$40+$D54)+J$30*(J$40+$E54)+J$31*(J$40+$F54),"-"))</f>
        <v>-</v>
      </c>
      <c r="K54" s="92" t="str">
        <f>IF(K$10&lt;65,"-",IF(AND(K$40&gt;=$B54,K$40&lt;=$C54),K$29*(K$40+$D54)+K$30*(K$40+$E54)+K$31*(K$40+$F54),"-"))</f>
        <v>-</v>
      </c>
      <c r="BM54"/>
    </row>
    <row r="55" spans="1:65" ht="14.25" thickBot="1">
      <c r="A55" s="510"/>
      <c r="B55" s="241">
        <v>3300000</v>
      </c>
      <c r="C55" s="242">
        <v>4099999</v>
      </c>
      <c r="D55" s="243">
        <v>-275000</v>
      </c>
      <c r="E55" s="244">
        <v>-175000</v>
      </c>
      <c r="F55" s="245">
        <v>-75000</v>
      </c>
      <c r="G55" s="90" t="str">
        <f>IF(G$10&lt;65,"-",IF(AND(G$40&gt;=$B55,G$40&lt;=$C55),G$29*(G$40*0.75+$D55)+G$30*(G$40*0.75+$E55)+G$31*(G$40*0.75+$F55),"-"))</f>
        <v>-</v>
      </c>
      <c r="H55" s="91" t="str">
        <f>IF(H$10&lt;65,"-",IF(AND(H$40&gt;=$B55,H$40&lt;=$C55),H$29*(H$40*0.75+$D55)+H$30*(H$40*0.75+$E55)+H$31*(H$40*0.75+$F55),"-"))</f>
        <v>-</v>
      </c>
      <c r="I55" s="91" t="str">
        <f>IF(I$10&lt;65,"-",IF(AND(I$40&gt;=$B55,I$40&lt;=$C55),I$29*(I$40*0.75+$D55)+I$30*(I$40*0.75+$E55)+I$31*(I$40*0.75+$F55),"-"))</f>
        <v>-</v>
      </c>
      <c r="J55" s="91" t="str">
        <f>IF(J$10&lt;65,"-",IF(AND(J$40&gt;=$B55,J$40&lt;=$C55),J$29*(J$40*0.75+$D55)+J$30*(J$40*0.75+$E55)+J$31*(J$40*0.75+$F55),"-"))</f>
        <v>-</v>
      </c>
      <c r="K55" s="92" t="str">
        <f>IF(K$10&lt;65,"-",IF(AND(K$40&gt;=$B55,K$40&lt;=$C55),K$29*(K$40*0.75+$D55)+K$30*(K$40*0.75+$E55)+K$31*(K$40*0.75+$F55),"-"))</f>
        <v>-</v>
      </c>
      <c r="BM55"/>
    </row>
    <row r="56" spans="1:65" ht="14.25" thickBot="1">
      <c r="A56" s="510"/>
      <c r="B56" s="241">
        <v>4100000</v>
      </c>
      <c r="C56" s="242">
        <v>7699999</v>
      </c>
      <c r="D56" s="243">
        <v>-685000</v>
      </c>
      <c r="E56" s="244">
        <v>-585000</v>
      </c>
      <c r="F56" s="245">
        <v>-485000</v>
      </c>
      <c r="G56" s="90" t="str">
        <f>IF(G$10&lt;65,"-",IF(AND(G$40&gt;=$B56,G$40&lt;=$C56),G$29*(G$40*0.85+$D56)+G$30*(G$40*0.85+$E56)+G$31*(G$40*0.85+$F56),"-"))</f>
        <v>-</v>
      </c>
      <c r="H56" s="91" t="str">
        <f>IF(H$10&lt;65,"-",IF(AND(H$40&gt;=$B56,H$40&lt;=$C56),H$29*(H$40*0.85+$D56)+H$30*(H$40*0.85+$E56)+H$31*(H$40*0.85+$F56),"-"))</f>
        <v>-</v>
      </c>
      <c r="I56" s="91" t="str">
        <f>IF(I$10&lt;65,"-",IF(AND(I$40&gt;=$B56,I$40&lt;=$C56),I$29*(I$40*0.85+$D56)+I$30*(I$40*0.85+$E56)+I$31*(I$40*0.85+$F56),"-"))</f>
        <v>-</v>
      </c>
      <c r="J56" s="91" t="str">
        <f>IF(J$10&lt;65,"-",IF(AND(J$40&gt;=$B56,J$40&lt;=$C56),J$29*(J$40*0.85+$D56)+J$30*(J$40*0.85+$E56)+J$31*(J$40*0.85+$F56),"-"))</f>
        <v>-</v>
      </c>
      <c r="K56" s="92" t="str">
        <f>IF(K$10&lt;65,"-",IF(AND(K$40&gt;=$B56,K$40&lt;=$C56),K$29*(K$40*0.85+$D56)+K$30*(K$40*0.85+$E56)+K$31*(K$40*0.85+$F56),"-"))</f>
        <v>-</v>
      </c>
      <c r="BM56"/>
    </row>
    <row r="57" spans="1:65" ht="14.25" thickBot="1">
      <c r="A57" s="510"/>
      <c r="B57" s="241">
        <v>7700000</v>
      </c>
      <c r="C57" s="242">
        <v>9999999</v>
      </c>
      <c r="D57" s="243">
        <v>-1455000</v>
      </c>
      <c r="E57" s="244">
        <v>-1355000</v>
      </c>
      <c r="F57" s="245">
        <v>-1255000</v>
      </c>
      <c r="G57" s="90" t="str">
        <f>IF(G$10&lt;65,"-",IF(AND(G$40&gt;=$B57,G$40&lt;=$C57),G$29*(G$40*0.95+$D57)+G$30*(G$40*0.95+$E57)+G$31*(G$40*0.95+$F57),"-"))</f>
        <v>-</v>
      </c>
      <c r="H57" s="91" t="str">
        <f>IF(H$10&lt;65,"-",IF(AND(H$40&gt;=$B57,H$40&lt;=$C57),H$29*(H$40*0.95+$D57)+H$30*(H$40*0.95+$E57)+H$31*(H$40*0.95+$F57),"-"))</f>
        <v>-</v>
      </c>
      <c r="I57" s="91" t="str">
        <f>IF(I$10&lt;65,"-",IF(AND(I$40&gt;=$B57,I$40&lt;=$C57),I$29*(I$40*0.95+$D57)+I$30*(I$40*0.95+$E57)+I$31*(I$40*0.95+$F57),"-"))</f>
        <v>-</v>
      </c>
      <c r="J57" s="91" t="str">
        <f>IF(J$10&lt;65,"-",IF(AND(J$40&gt;=$B57,J$40&lt;=$C57),J$29*(J$40*0.95+$D57)+J$30*(J$40*0.95+$E57)+J$31*(J$40*0.95+$F57),"-"))</f>
        <v>-</v>
      </c>
      <c r="K57" s="92" t="str">
        <f>IF(K$10&lt;65,"-",IF(AND(K$40&gt;=$B57,K$40&lt;=$C57),K$29*(K$40*0.95+$D57)+K$30*(K$40*0.95+$E57)+K$31*(K$40*0.95+$F57),"-"))</f>
        <v>-</v>
      </c>
      <c r="BM57"/>
    </row>
    <row r="58" spans="1:65" ht="14.25" thickBot="1">
      <c r="A58" s="510"/>
      <c r="B58" s="246">
        <v>10000000</v>
      </c>
      <c r="C58" s="247"/>
      <c r="D58" s="229">
        <v>-1955000</v>
      </c>
      <c r="E58" s="248">
        <v>-1855000</v>
      </c>
      <c r="F58" s="249">
        <v>-1755000</v>
      </c>
      <c r="G58" s="44" t="str">
        <f>IF(G$10&lt;65,"-",IF(G$40&gt;=$B58,G$29*(G$40+$D58)+G$30*(G$40+$E58)+G$31*(G$40+$F58),"-"))</f>
        <v>-</v>
      </c>
      <c r="H58" s="45" t="str">
        <f>IF(H$10&lt;65,"-",IF(H$40&gt;=$B58,H$29*(H$40+$D58)+H$30*(H$40+$E58)+H$31*(H$40+$F58),"-"))</f>
        <v>-</v>
      </c>
      <c r="I58" s="45" t="str">
        <f>IF(I$10&lt;65,"-",IF(I$40&gt;=$B58,I$29*(I$40+$D58)+I$30*(I$40+$E58)+I$31*(I$40+$F58),"-"))</f>
        <v>-</v>
      </c>
      <c r="J58" s="45" t="str">
        <f>IF(J$10&lt;65,"-",IF(J$40&gt;=$B58,J$29*(J$40+$D58)+J$30*(J$40+$E58)+J$31*(J$40+$F58),"-"))</f>
        <v>-</v>
      </c>
      <c r="K58" s="46" t="str">
        <f>IF(K$10&lt;65,"-",IF(K$40&gt;=$B58,K$29*(K$40+$D58)+K$30*(K$40+$E58)+K$31*(K$40+$F58),"-"))</f>
        <v>-</v>
      </c>
      <c r="BM58"/>
    </row>
    <row r="59" spans="1:65" ht="22.5" customHeight="1" thickBot="1">
      <c r="A59"/>
      <c r="B59"/>
      <c r="C59"/>
      <c r="D59"/>
      <c r="E59"/>
      <c r="F59" s="48" t="s">
        <v>48</v>
      </c>
      <c r="G59" s="93">
        <f>SUM(G43:G58)</f>
        <v>0</v>
      </c>
      <c r="H59" s="94">
        <f>SUM(H43:H58)</f>
        <v>0</v>
      </c>
      <c r="I59" s="94">
        <f>SUM(I43:I58)</f>
        <v>0</v>
      </c>
      <c r="J59" s="94">
        <f>SUM(J43:J58)</f>
        <v>0</v>
      </c>
      <c r="K59" s="95">
        <f>SUM(K43:K58)</f>
        <v>0</v>
      </c>
      <c r="BM59"/>
    </row>
    <row r="60" spans="1:65" ht="22.5" customHeight="1" thickBot="1">
      <c r="A60" s="96" t="s">
        <v>49</v>
      </c>
      <c r="B60"/>
      <c r="C60"/>
      <c r="D60"/>
      <c r="E60"/>
      <c r="F60"/>
      <c r="G60"/>
      <c r="H60"/>
      <c r="I60"/>
      <c r="J60"/>
      <c r="K60"/>
      <c r="BM60"/>
    </row>
    <row r="61" spans="1:65" ht="22.5" customHeight="1" thickBot="1">
      <c r="A61"/>
      <c r="B61"/>
      <c r="C61" s="501" t="s">
        <v>50</v>
      </c>
      <c r="D61" s="501"/>
      <c r="E61" s="501"/>
      <c r="F61" s="97">
        <v>150000</v>
      </c>
      <c r="G61" s="30" t="s">
        <v>1</v>
      </c>
      <c r="H61" s="31" t="s">
        <v>2</v>
      </c>
      <c r="I61" s="31" t="s">
        <v>3</v>
      </c>
      <c r="J61" s="31" t="s">
        <v>4</v>
      </c>
      <c r="K61" s="32" t="s">
        <v>5</v>
      </c>
      <c r="BM61"/>
    </row>
    <row r="62" spans="1:65" ht="22.5" customHeight="1" thickBot="1">
      <c r="A62"/>
      <c r="B62"/>
      <c r="C62"/>
      <c r="D62"/>
      <c r="E62"/>
      <c r="F62" s="98" t="s">
        <v>51</v>
      </c>
      <c r="G62" s="99">
        <f>IF(G10&lt;65,G59,IF(G59-$F61&gt;0,G59-$F61,0))</f>
        <v>0</v>
      </c>
      <c r="H62" s="100">
        <f>IF(H10&lt;65,H59,IF(H59-$F61&gt;0,H59-$F61,0))</f>
        <v>0</v>
      </c>
      <c r="I62" s="100">
        <f>IF(I10&lt;65,I59,IF(I59-$F61&gt;0,I59-$F61,0))</f>
        <v>0</v>
      </c>
      <c r="J62" s="100">
        <f>IF(J10&lt;65,J59,IF(J59-$F61&gt;0,J59-$F61,0))</f>
        <v>0</v>
      </c>
      <c r="K62" s="101">
        <f>IF(K10&lt;65,K59,IF(K59-$F61&gt;0,K59-$F61,0))</f>
        <v>0</v>
      </c>
      <c r="BM62"/>
    </row>
    <row r="63" spans="1:65" ht="22.5" customHeight="1" thickBot="1">
      <c r="A63"/>
      <c r="B63"/>
      <c r="C63"/>
      <c r="D63"/>
      <c r="E63"/>
      <c r="F63"/>
      <c r="G63"/>
      <c r="H63"/>
      <c r="I63"/>
      <c r="J63"/>
      <c r="K63"/>
      <c r="BM63"/>
    </row>
    <row r="64" spans="1:65" ht="22.5" customHeight="1">
      <c r="A64" s="78" t="s">
        <v>7</v>
      </c>
      <c r="B64"/>
      <c r="C64"/>
      <c r="D64"/>
      <c r="E64"/>
      <c r="F64"/>
      <c r="G64" s="30" t="s">
        <v>1</v>
      </c>
      <c r="H64" s="31" t="s">
        <v>2</v>
      </c>
      <c r="I64" s="31" t="s">
        <v>3</v>
      </c>
      <c r="J64" s="31" t="s">
        <v>4</v>
      </c>
      <c r="K64" s="32" t="s">
        <v>5</v>
      </c>
      <c r="BM64"/>
    </row>
    <row r="65" spans="1:65" ht="22.5" customHeight="1" thickBot="1">
      <c r="A65"/>
      <c r="B65"/>
      <c r="C65"/>
      <c r="D65"/>
      <c r="E65"/>
      <c r="F65" s="48" t="s">
        <v>52</v>
      </c>
      <c r="G65" s="49">
        <f>試算シート!U59</f>
        <v>0</v>
      </c>
      <c r="H65" s="102">
        <f>試算シート!U60</f>
        <v>0</v>
      </c>
      <c r="I65" s="102">
        <f>試算シート!U61</f>
        <v>0</v>
      </c>
      <c r="J65" s="102">
        <f>試算シート!U62</f>
        <v>0</v>
      </c>
      <c r="K65" s="103">
        <f>試算シート!U63</f>
        <v>0</v>
      </c>
      <c r="BM65"/>
    </row>
    <row r="66" spans="1:65" ht="22.5" customHeight="1" thickBot="1">
      <c r="A66"/>
      <c r="B66"/>
      <c r="C66"/>
      <c r="D66"/>
      <c r="E66"/>
      <c r="F66"/>
      <c r="G66"/>
      <c r="H66"/>
      <c r="I66"/>
      <c r="J66"/>
      <c r="K66"/>
      <c r="BM66"/>
    </row>
    <row r="67" spans="1:65" ht="21.75" customHeight="1">
      <c r="A67" s="104" t="s">
        <v>53</v>
      </c>
      <c r="B67"/>
      <c r="C67"/>
      <c r="D67"/>
      <c r="E67"/>
      <c r="F67"/>
      <c r="G67" s="30" t="s">
        <v>1</v>
      </c>
      <c r="H67" s="31" t="s">
        <v>2</v>
      </c>
      <c r="I67" s="31" t="s">
        <v>3</v>
      </c>
      <c r="J67" s="31" t="s">
        <v>4</v>
      </c>
      <c r="K67" s="32" t="s">
        <v>5</v>
      </c>
      <c r="BM67"/>
    </row>
    <row r="68" spans="1:65" ht="21.75" customHeight="1" thickBot="1">
      <c r="A68"/>
      <c r="B68"/>
      <c r="C68"/>
      <c r="D68"/>
      <c r="E68"/>
      <c r="F68" s="48" t="s">
        <v>54</v>
      </c>
      <c r="G68" s="41">
        <f>G36+G59+G65</f>
        <v>0</v>
      </c>
      <c r="H68" s="42">
        <f>H36+H59+H65</f>
        <v>0</v>
      </c>
      <c r="I68" s="42">
        <f>I36+I59+I65</f>
        <v>0</v>
      </c>
      <c r="J68" s="42">
        <f>J36+J59+J65</f>
        <v>0</v>
      </c>
      <c r="K68" s="43">
        <f>K36+K59+K65</f>
        <v>0</v>
      </c>
      <c r="BM68"/>
    </row>
    <row r="69" spans="1:65" ht="22.5" customHeight="1" thickBot="1">
      <c r="A69"/>
      <c r="B69"/>
      <c r="C69"/>
      <c r="D69"/>
      <c r="E69"/>
      <c r="F69"/>
      <c r="G69"/>
      <c r="H69"/>
      <c r="I69"/>
      <c r="J69"/>
      <c r="K69"/>
      <c r="BM69"/>
    </row>
    <row r="70" spans="1:65" ht="21.75" customHeight="1">
      <c r="A70" s="105" t="s">
        <v>6</v>
      </c>
      <c r="B70"/>
      <c r="C70"/>
      <c r="D70"/>
      <c r="E70"/>
      <c r="F70"/>
      <c r="G70" s="30" t="s">
        <v>1</v>
      </c>
      <c r="H70" s="31" t="s">
        <v>2</v>
      </c>
      <c r="I70" s="31" t="s">
        <v>3</v>
      </c>
      <c r="J70" s="31" t="s">
        <v>4</v>
      </c>
      <c r="K70" s="32" t="s">
        <v>5</v>
      </c>
      <c r="BM70"/>
    </row>
    <row r="71" spans="1:65" ht="21.75" customHeight="1" thickBot="1">
      <c r="A71"/>
      <c r="B71"/>
      <c r="C71"/>
      <c r="D71"/>
      <c r="E71"/>
      <c r="F71" s="98" t="s">
        <v>55</v>
      </c>
      <c r="G71" s="41">
        <f>G36+G62+G65</f>
        <v>0</v>
      </c>
      <c r="H71" s="42">
        <f>H36+H62+H65</f>
        <v>0</v>
      </c>
      <c r="I71" s="42">
        <f>I36+I62+I65</f>
        <v>0</v>
      </c>
      <c r="J71" s="42">
        <f>J36+J62+J65</f>
        <v>0</v>
      </c>
      <c r="K71" s="43">
        <f>K36+K62+K65</f>
        <v>0</v>
      </c>
      <c r="BM71"/>
    </row>
    <row r="72" spans="1:65" ht="21.75" customHeight="1">
      <c r="A72"/>
      <c r="B72"/>
      <c r="C72"/>
      <c r="D72"/>
      <c r="E72"/>
      <c r="F72"/>
      <c r="G72" s="502" t="s">
        <v>56</v>
      </c>
      <c r="H72" s="502"/>
      <c r="I72" s="502"/>
      <c r="J72" s="502"/>
      <c r="K72" s="502"/>
      <c r="BM72"/>
    </row>
    <row r="73" spans="1:65" ht="21.75" customHeight="1" thickBot="1">
      <c r="A73"/>
      <c r="B73"/>
      <c r="C73"/>
      <c r="D73"/>
      <c r="E73"/>
      <c r="F73" s="98" t="s">
        <v>57</v>
      </c>
      <c r="G73" s="503">
        <f>SUM(G71:K71)</f>
        <v>0</v>
      </c>
      <c r="H73" s="503"/>
      <c r="I73" s="503"/>
      <c r="J73" s="503"/>
      <c r="K73" s="503"/>
      <c r="BM73"/>
    </row>
    <row r="74" spans="1:65" ht="21.75" customHeight="1">
      <c r="A74"/>
      <c r="B74"/>
      <c r="C74"/>
      <c r="D74"/>
      <c r="E74"/>
      <c r="F74"/>
      <c r="G74"/>
      <c r="H74"/>
      <c r="I74"/>
      <c r="J74"/>
      <c r="K74"/>
      <c r="BM74"/>
    </row>
    <row r="75" spans="1:65" ht="21.75" customHeight="1" thickBot="1">
      <c r="A75" s="105" t="s">
        <v>58</v>
      </c>
      <c r="B75"/>
      <c r="C75"/>
      <c r="D75"/>
      <c r="E75"/>
      <c r="F75"/>
      <c r="G75"/>
      <c r="H75"/>
      <c r="I75" s="29"/>
      <c r="J75" s="29"/>
      <c r="K75" s="29"/>
      <c r="BM75"/>
    </row>
    <row r="76" spans="1:65" ht="21.75" customHeight="1" thickBot="1">
      <c r="A76"/>
      <c r="B76" s="501" t="s">
        <v>59</v>
      </c>
      <c r="C76" s="501"/>
      <c r="D76" s="106" t="s">
        <v>60</v>
      </c>
      <c r="E76" s="107" t="s">
        <v>61</v>
      </c>
      <c r="F76" s="107" t="s">
        <v>62</v>
      </c>
      <c r="G76" s="107" t="s">
        <v>63</v>
      </c>
      <c r="H76" s="106" t="s">
        <v>64</v>
      </c>
      <c r="I76" s="108" t="s">
        <v>6</v>
      </c>
      <c r="J76" s="501" t="s">
        <v>65</v>
      </c>
      <c r="K76" s="501" t="s">
        <v>66</v>
      </c>
      <c r="AG76" s="5"/>
      <c r="BM76"/>
    </row>
    <row r="77" spans="1:65" ht="21.75" customHeight="1" thickBot="1">
      <c r="A77"/>
      <c r="B77" s="501"/>
      <c r="C77" s="501"/>
      <c r="D77" s="109" t="s">
        <v>67</v>
      </c>
      <c r="E77" s="110" t="s">
        <v>68</v>
      </c>
      <c r="F77" s="110" t="s">
        <v>69</v>
      </c>
      <c r="G77" s="110" t="s">
        <v>70</v>
      </c>
      <c r="H77" s="109" t="s">
        <v>71</v>
      </c>
      <c r="I77" s="111" t="s">
        <v>72</v>
      </c>
      <c r="J77" s="501"/>
      <c r="K77" s="501"/>
      <c r="AG77" s="5"/>
      <c r="BM77"/>
    </row>
    <row r="78" spans="1:65" ht="21.75" customHeight="1">
      <c r="A78"/>
      <c r="B78" s="112" t="s">
        <v>73</v>
      </c>
      <c r="C78" s="113">
        <v>0.30000000000000004</v>
      </c>
      <c r="D78" s="114">
        <v>430000</v>
      </c>
      <c r="E78" s="115">
        <v>0</v>
      </c>
      <c r="F78" s="115">
        <f>SUM(G11:K11)</f>
        <v>0</v>
      </c>
      <c r="G78" s="116">
        <v>100000</v>
      </c>
      <c r="H78" s="117">
        <f>IF(SUM($G$13:$K$13)-1&lt;0,0,SUM($G$13:$K$13)-1)</f>
        <v>0</v>
      </c>
      <c r="I78" s="118">
        <f>D78+(E78*F78)+(G78*H78)</f>
        <v>430000</v>
      </c>
      <c r="J78" s="119"/>
      <c r="K78" s="119"/>
      <c r="AG78" s="5"/>
      <c r="BM78"/>
    </row>
    <row r="79" spans="1:65" ht="21.75" customHeight="1">
      <c r="A79"/>
      <c r="B79" s="120" t="s">
        <v>74</v>
      </c>
      <c r="C79" s="121">
        <v>0.5</v>
      </c>
      <c r="D79" s="122">
        <v>430000</v>
      </c>
      <c r="E79" s="250">
        <v>310000</v>
      </c>
      <c r="F79" s="123">
        <f>SUM(G11:K11)</f>
        <v>0</v>
      </c>
      <c r="G79" s="124">
        <v>100000</v>
      </c>
      <c r="H79" s="125">
        <f>H78</f>
        <v>0</v>
      </c>
      <c r="I79" s="126">
        <f>D79+(E79*F79)+(G79*H79)</f>
        <v>430000</v>
      </c>
      <c r="J79" s="127" t="str">
        <f>IF(G73&lt;=I78,B78,IF(G73&lt;=I79,B79,IF(G73&lt;=I80,B80,"非該当")))</f>
        <v>7割軽減</v>
      </c>
      <c r="K79" s="127">
        <f>IF(J79=B78,C78,IF(J79=B79,C79,IF(J79=B80,C80,1)))</f>
        <v>0.30000000000000004</v>
      </c>
      <c r="AG79" s="5"/>
      <c r="BM79"/>
    </row>
    <row r="80" spans="1:65" ht="21.75" customHeight="1" thickBot="1">
      <c r="A80"/>
      <c r="B80" s="128" t="s">
        <v>75</v>
      </c>
      <c r="C80" s="129">
        <v>0.8</v>
      </c>
      <c r="D80" s="130">
        <v>430000</v>
      </c>
      <c r="E80" s="251">
        <v>570000</v>
      </c>
      <c r="F80" s="57">
        <f>SUM(G11:K11)</f>
        <v>0</v>
      </c>
      <c r="G80" s="131">
        <v>100000</v>
      </c>
      <c r="H80" s="132">
        <f>H78</f>
        <v>0</v>
      </c>
      <c r="I80" s="133">
        <f>D80+(E80*F80)+(G80*H80)</f>
        <v>430000</v>
      </c>
      <c r="J80" s="134"/>
      <c r="K80" s="134"/>
      <c r="AG80" s="5"/>
      <c r="BM80"/>
    </row>
    <row r="81" spans="1:11" ht="21.75" customHeight="1">
      <c r="A81"/>
      <c r="B81"/>
      <c r="C81"/>
      <c r="D81"/>
      <c r="E81"/>
      <c r="F81"/>
      <c r="G81"/>
      <c r="H81"/>
      <c r="I81"/>
      <c r="J81"/>
      <c r="K81"/>
    </row>
    <row r="82" spans="1:11" ht="21.75" customHeight="1" thickBot="1">
      <c r="A82"/>
      <c r="B82"/>
      <c r="C82"/>
      <c r="D82"/>
      <c r="E82"/>
      <c r="F82"/>
      <c r="G82"/>
      <c r="H82"/>
      <c r="I82"/>
      <c r="J82"/>
      <c r="K82"/>
    </row>
    <row r="83" spans="1:11" ht="21.75" customHeight="1" thickBot="1">
      <c r="A83" s="7" t="s">
        <v>9</v>
      </c>
      <c r="B83" s="12" t="s">
        <v>76</v>
      </c>
      <c r="C83" s="494" t="s">
        <v>77</v>
      </c>
      <c r="D83" s="494"/>
      <c r="E83" s="494"/>
      <c r="F83" s="494"/>
      <c r="G83" s="135" t="s">
        <v>1</v>
      </c>
      <c r="H83" s="2" t="s">
        <v>2</v>
      </c>
      <c r="I83" s="2" t="s">
        <v>3</v>
      </c>
      <c r="J83" s="2" t="s">
        <v>4</v>
      </c>
      <c r="K83" s="136" t="s">
        <v>5</v>
      </c>
    </row>
    <row r="84" spans="1:11" ht="21.75" customHeight="1" thickBot="1">
      <c r="A84"/>
      <c r="B84" s="495" t="s">
        <v>78</v>
      </c>
      <c r="C84" s="496" t="s">
        <v>79</v>
      </c>
      <c r="D84" s="496"/>
      <c r="E84" s="496"/>
      <c r="F84" s="496"/>
      <c r="G84" s="137">
        <f>IF(G10&gt;0,1,0)*G11*G68</f>
        <v>0</v>
      </c>
      <c r="H84" s="137">
        <f>H11*H68</f>
        <v>0</v>
      </c>
      <c r="I84" s="137">
        <f>I11*I68</f>
        <v>0</v>
      </c>
      <c r="J84" s="137">
        <f>J11*J68</f>
        <v>0</v>
      </c>
      <c r="K84" s="138">
        <f>K11*K68</f>
        <v>0</v>
      </c>
    </row>
    <row r="85" spans="1:11" ht="21.75" customHeight="1" thickBot="1">
      <c r="A85"/>
      <c r="B85" s="495"/>
      <c r="C85" s="497" t="s">
        <v>80</v>
      </c>
      <c r="D85" s="497"/>
      <c r="E85" s="497"/>
      <c r="F85" s="497"/>
      <c r="G85" s="139">
        <f>IF(G84-$C$7&gt;0,G84-$C$7,0)</f>
        <v>0</v>
      </c>
      <c r="H85" s="139">
        <f>IF(H84-$C$7&gt;0,H84-$C$7,0)</f>
        <v>0</v>
      </c>
      <c r="I85" s="139">
        <f>IF(I84-$C$7&gt;0,I84-$C$7,0)</f>
        <v>0</v>
      </c>
      <c r="J85" s="139">
        <f>IF(J84-$C$7&gt;0,J84-$C$7,0)</f>
        <v>0</v>
      </c>
      <c r="K85" s="140">
        <f>IF(K84-$C$7&gt;0,K84-$C$7,0)</f>
        <v>0</v>
      </c>
    </row>
    <row r="86" spans="1:11" ht="21.75" customHeight="1" thickTop="1">
      <c r="A86"/>
      <c r="B86" s="495"/>
      <c r="C86" s="498" t="s">
        <v>81</v>
      </c>
      <c r="D86" s="498"/>
      <c r="E86" s="498"/>
      <c r="F86" s="498"/>
      <c r="G86" s="141">
        <f>G85*$C$3</f>
        <v>0</v>
      </c>
      <c r="H86" s="141">
        <f>H85*$C$3</f>
        <v>0</v>
      </c>
      <c r="I86" s="141">
        <f>I85*$C$3</f>
        <v>0</v>
      </c>
      <c r="J86" s="141">
        <f>J85*$C$3</f>
        <v>0</v>
      </c>
      <c r="K86" s="142">
        <f>K85*$C$3</f>
        <v>0</v>
      </c>
    </row>
    <row r="87" spans="1:11" ht="21.75" customHeight="1" thickBot="1">
      <c r="A87"/>
      <c r="B87" s="489" t="s">
        <v>19</v>
      </c>
      <c r="C87" s="489"/>
      <c r="D87" s="489"/>
      <c r="E87" s="489"/>
      <c r="F87" s="489"/>
      <c r="G87" s="215">
        <f>IF(試算シート!AB59=TRUE,G11*$C$4*$K$79*0.5,G11*$C$4*$K$79)</f>
        <v>0</v>
      </c>
      <c r="H87" s="215">
        <f>IF(試算シート!AB60=TRUE,H11*$C$4*$K$79*0.5,H11*$C$4*$K$79)</f>
        <v>0</v>
      </c>
      <c r="I87" s="215">
        <f>IF(試算シート!AB61=TRUE,I11*$C$4*$K$79*0.5,I11*$C$4*$K$79)</f>
        <v>0</v>
      </c>
      <c r="J87" s="215">
        <f>IF(試算シート!AB62=TRUE,J11*$C$4*$K$79*0.5,J11*$C$4*$K$79)</f>
        <v>0</v>
      </c>
      <c r="K87" s="216">
        <f>IF(試算シート!AB63=TRUE,K11*$C$4*$K$79*0.5,K11*$C$4*$K$79)</f>
        <v>0</v>
      </c>
    </row>
    <row r="88" spans="1:11" ht="21.75" customHeight="1" thickTop="1" thickBot="1">
      <c r="A88"/>
      <c r="B88" s="490" t="s">
        <v>82</v>
      </c>
      <c r="C88" s="490"/>
      <c r="D88" s="490"/>
      <c r="E88" s="490"/>
      <c r="F88" s="490"/>
      <c r="G88" s="144">
        <f>SUM(G86:G87)</f>
        <v>0</v>
      </c>
      <c r="H88" s="144">
        <f>SUM(H86:H87)</f>
        <v>0</v>
      </c>
      <c r="I88" s="144">
        <f>SUM(I86:I87)</f>
        <v>0</v>
      </c>
      <c r="J88" s="144">
        <f>SUM(J86:J87)</f>
        <v>0</v>
      </c>
      <c r="K88" s="145">
        <f>SUM(K86:K87)</f>
        <v>0</v>
      </c>
    </row>
    <row r="89" spans="1:11" ht="21.75" customHeight="1">
      <c r="A89"/>
      <c r="B89" s="491" t="s">
        <v>83</v>
      </c>
      <c r="C89" s="491"/>
      <c r="D89" s="491"/>
      <c r="E89" s="491"/>
      <c r="F89" s="491"/>
      <c r="G89" s="500">
        <f>SUM(G88:K88)</f>
        <v>0</v>
      </c>
      <c r="H89" s="500"/>
      <c r="I89" s="500"/>
      <c r="J89" s="500"/>
      <c r="K89" s="500"/>
    </row>
    <row r="90" spans="1:11" ht="21.75" customHeight="1">
      <c r="A90"/>
      <c r="B90" s="493" t="s">
        <v>84</v>
      </c>
      <c r="C90" s="493"/>
      <c r="D90" s="493"/>
      <c r="E90" s="493"/>
      <c r="F90" s="493"/>
      <c r="G90" s="492">
        <f>ROUNDDOWN(G89,-2)</f>
        <v>0</v>
      </c>
      <c r="H90" s="492"/>
      <c r="I90" s="492"/>
      <c r="J90" s="492"/>
      <c r="K90" s="492"/>
    </row>
    <row r="91" spans="1:11" ht="21.75" customHeight="1" thickBot="1">
      <c r="A91"/>
      <c r="B91" s="485" t="s">
        <v>85</v>
      </c>
      <c r="C91" s="485"/>
      <c r="D91" s="485"/>
      <c r="E91" s="485"/>
      <c r="F91" s="485"/>
      <c r="G91" s="486">
        <f>IF(G90&gt;C5,G90-C5,0)</f>
        <v>0</v>
      </c>
      <c r="H91" s="486"/>
      <c r="I91" s="486"/>
      <c r="J91" s="486"/>
      <c r="K91" s="486"/>
    </row>
    <row r="92" spans="1:11" ht="21.75" customHeight="1" thickBot="1">
      <c r="A92"/>
      <c r="B92" s="487" t="s">
        <v>86</v>
      </c>
      <c r="C92" s="487"/>
      <c r="D92" s="487"/>
      <c r="E92" s="487"/>
      <c r="F92" s="487"/>
      <c r="G92" s="488">
        <f>IF(G90&gt;C5,C5,G90)</f>
        <v>0</v>
      </c>
      <c r="H92" s="488"/>
      <c r="I92" s="488"/>
      <c r="J92" s="488"/>
      <c r="K92" s="488"/>
    </row>
    <row r="93" spans="1:11" ht="21.75" customHeight="1" thickBot="1">
      <c r="A93"/>
      <c r="B93"/>
      <c r="C93"/>
      <c r="D93"/>
      <c r="E93"/>
      <c r="F93"/>
      <c r="G93"/>
      <c r="H93"/>
      <c r="I93"/>
      <c r="J93"/>
      <c r="K93"/>
    </row>
    <row r="94" spans="1:11" ht="21.75" customHeight="1" thickBot="1">
      <c r="A94" s="7" t="s">
        <v>10</v>
      </c>
      <c r="B94" s="12" t="s">
        <v>76</v>
      </c>
      <c r="C94" s="494" t="s">
        <v>77</v>
      </c>
      <c r="D94" s="494"/>
      <c r="E94" s="494"/>
      <c r="F94" s="494"/>
      <c r="G94" s="135" t="s">
        <v>1</v>
      </c>
      <c r="H94" s="2" t="s">
        <v>2</v>
      </c>
      <c r="I94" s="2" t="s">
        <v>3</v>
      </c>
      <c r="J94" s="2" t="s">
        <v>4</v>
      </c>
      <c r="K94" s="136" t="s">
        <v>5</v>
      </c>
    </row>
    <row r="95" spans="1:11" ht="21.75" customHeight="1" thickBot="1">
      <c r="A95"/>
      <c r="B95" s="495" t="s">
        <v>78</v>
      </c>
      <c r="C95" s="496" t="s">
        <v>79</v>
      </c>
      <c r="D95" s="496"/>
      <c r="E95" s="496"/>
      <c r="F95" s="496"/>
      <c r="G95" s="137">
        <f>IF(G10&gt;0,1,0)*G11*G68</f>
        <v>0</v>
      </c>
      <c r="H95" s="137">
        <f>H11*H68</f>
        <v>0</v>
      </c>
      <c r="I95" s="137">
        <f>I11*I68</f>
        <v>0</v>
      </c>
      <c r="J95" s="137">
        <f>J11*J68</f>
        <v>0</v>
      </c>
      <c r="K95" s="138">
        <f>K11*K68</f>
        <v>0</v>
      </c>
    </row>
    <row r="96" spans="1:11" ht="21.75" customHeight="1" thickBot="1">
      <c r="A96"/>
      <c r="B96" s="495"/>
      <c r="C96" s="497" t="s">
        <v>80</v>
      </c>
      <c r="D96" s="497"/>
      <c r="E96" s="497"/>
      <c r="F96" s="497"/>
      <c r="G96" s="139">
        <f>IF(G95-$C$7&gt;0,G95-$C$7,0)</f>
        <v>0</v>
      </c>
      <c r="H96" s="139">
        <f>IF(H95-$C$7&gt;0,H95-$C$7,0)</f>
        <v>0</v>
      </c>
      <c r="I96" s="139">
        <f>IF(I95-$C$7&gt;0,I95-$C$7,0)</f>
        <v>0</v>
      </c>
      <c r="J96" s="139">
        <f>IF(J95-$C$7&gt;0,J95-$C$7,0)</f>
        <v>0</v>
      </c>
      <c r="K96" s="140">
        <f>IF(K95-$C$7&gt;0,K95-$C$7,0)</f>
        <v>0</v>
      </c>
    </row>
    <row r="97" spans="1:11" ht="21.75" customHeight="1" thickTop="1">
      <c r="A97"/>
      <c r="B97" s="495"/>
      <c r="C97" s="498" t="s">
        <v>81</v>
      </c>
      <c r="D97" s="498"/>
      <c r="E97" s="498"/>
      <c r="F97" s="498"/>
      <c r="G97" s="141">
        <f>G96*$D$3</f>
        <v>0</v>
      </c>
      <c r="H97" s="141">
        <f>H96*$D$3</f>
        <v>0</v>
      </c>
      <c r="I97" s="141">
        <f>I96*$D$3</f>
        <v>0</v>
      </c>
      <c r="J97" s="141">
        <f>J96*$D$3</f>
        <v>0</v>
      </c>
      <c r="K97" s="142">
        <f>K96*$D$3</f>
        <v>0</v>
      </c>
    </row>
    <row r="98" spans="1:11" ht="21.75" customHeight="1" thickBot="1">
      <c r="A98"/>
      <c r="B98" s="489" t="s">
        <v>19</v>
      </c>
      <c r="C98" s="489"/>
      <c r="D98" s="489"/>
      <c r="E98" s="489"/>
      <c r="F98" s="489"/>
      <c r="G98" s="215">
        <f>IF(試算シート!AB59=TRUE,G11*$D$4*$K$79*0.5,G11*$D$4*$K$79)</f>
        <v>0</v>
      </c>
      <c r="H98" s="215">
        <f>IF(試算シート!AB60=TRUE,H11*$D$4*$K$79*0.5,H11*$D$4*$K$79)</f>
        <v>0</v>
      </c>
      <c r="I98" s="215">
        <f>IF(試算シート!AB61=TRUE,I11*$D$4*$K$79*0.5,I11*$D$4*$K$79)</f>
        <v>0</v>
      </c>
      <c r="J98" s="215">
        <f>IF(試算シート!AB62=TRUE,J11*$D$4*$K$79*0.5,J11*$D$4*$K$79)</f>
        <v>0</v>
      </c>
      <c r="K98" s="216">
        <f>IF(試算シート!AB63=TRUE,K11*$D$4*$K$79*0.5,K11*$D$4*$K$79)</f>
        <v>0</v>
      </c>
    </row>
    <row r="99" spans="1:11" ht="21.75" customHeight="1" thickTop="1" thickBot="1">
      <c r="A99"/>
      <c r="B99" s="490" t="s">
        <v>82</v>
      </c>
      <c r="C99" s="490"/>
      <c r="D99" s="490"/>
      <c r="E99" s="490"/>
      <c r="F99" s="490"/>
      <c r="G99" s="144">
        <f>SUM(G97:G98)</f>
        <v>0</v>
      </c>
      <c r="H99" s="144">
        <f>SUM(H97:H98)</f>
        <v>0</v>
      </c>
      <c r="I99" s="144">
        <f>SUM(I97:I98)</f>
        <v>0</v>
      </c>
      <c r="J99" s="144">
        <f>SUM(J97:J98)</f>
        <v>0</v>
      </c>
      <c r="K99" s="145">
        <f>SUM(K97:K98)</f>
        <v>0</v>
      </c>
    </row>
    <row r="100" spans="1:11" ht="21.75" customHeight="1">
      <c r="A100"/>
      <c r="B100" s="491" t="s">
        <v>83</v>
      </c>
      <c r="C100" s="491"/>
      <c r="D100" s="491"/>
      <c r="E100" s="491"/>
      <c r="F100" s="491"/>
      <c r="G100" s="492">
        <f>SUM(G99:K99)</f>
        <v>0</v>
      </c>
      <c r="H100" s="492"/>
      <c r="I100" s="492"/>
      <c r="J100" s="492"/>
      <c r="K100" s="492"/>
    </row>
    <row r="101" spans="1:11" ht="21.75" customHeight="1">
      <c r="A101"/>
      <c r="B101" s="493" t="s">
        <v>84</v>
      </c>
      <c r="C101" s="493"/>
      <c r="D101" s="493"/>
      <c r="E101" s="493"/>
      <c r="F101" s="493"/>
      <c r="G101" s="492">
        <f>ROUNDDOWN(G100,-2)</f>
        <v>0</v>
      </c>
      <c r="H101" s="492"/>
      <c r="I101" s="492"/>
      <c r="J101" s="492"/>
      <c r="K101" s="492"/>
    </row>
    <row r="102" spans="1:11" ht="21.75" customHeight="1" thickBot="1">
      <c r="A102"/>
      <c r="B102" s="485" t="s">
        <v>85</v>
      </c>
      <c r="C102" s="485"/>
      <c r="D102" s="485"/>
      <c r="E102" s="485"/>
      <c r="F102" s="485"/>
      <c r="G102" s="486">
        <f>IF(G101&gt;D5,G101-D5,0)</f>
        <v>0</v>
      </c>
      <c r="H102" s="486"/>
      <c r="I102" s="486"/>
      <c r="J102" s="486"/>
      <c r="K102" s="486"/>
    </row>
    <row r="103" spans="1:11" ht="21.75" customHeight="1" thickBot="1">
      <c r="A103"/>
      <c r="B103" s="487" t="s">
        <v>86</v>
      </c>
      <c r="C103" s="487"/>
      <c r="D103" s="487"/>
      <c r="E103" s="487"/>
      <c r="F103" s="487"/>
      <c r="G103" s="488">
        <f>IF(G101&gt;D5,D5,G101)</f>
        <v>0</v>
      </c>
      <c r="H103" s="488"/>
      <c r="I103" s="488"/>
      <c r="J103" s="488"/>
      <c r="K103" s="488"/>
    </row>
    <row r="104" spans="1:11" ht="21.75" customHeight="1" thickBot="1">
      <c r="A104"/>
      <c r="B104"/>
      <c r="C104"/>
      <c r="D104"/>
      <c r="E104"/>
      <c r="F104"/>
      <c r="G104"/>
      <c r="H104"/>
      <c r="I104"/>
      <c r="J104"/>
      <c r="K104"/>
    </row>
    <row r="105" spans="1:11" ht="21.75" customHeight="1" thickBot="1">
      <c r="A105" s="7" t="s">
        <v>11</v>
      </c>
      <c r="B105" s="12" t="s">
        <v>76</v>
      </c>
      <c r="C105" s="494" t="s">
        <v>77</v>
      </c>
      <c r="D105" s="494"/>
      <c r="E105" s="494"/>
      <c r="F105" s="494"/>
      <c r="G105" s="135" t="s">
        <v>1</v>
      </c>
      <c r="H105" s="2" t="s">
        <v>2</v>
      </c>
      <c r="I105" s="2" t="s">
        <v>3</v>
      </c>
      <c r="J105" s="2" t="s">
        <v>4</v>
      </c>
      <c r="K105" s="136" t="s">
        <v>5</v>
      </c>
    </row>
    <row r="106" spans="1:11" ht="21.75" customHeight="1" thickBot="1">
      <c r="A106"/>
      <c r="B106" s="495" t="s">
        <v>78</v>
      </c>
      <c r="C106" s="496" t="s">
        <v>79</v>
      </c>
      <c r="D106" s="496"/>
      <c r="E106" s="496"/>
      <c r="F106" s="496"/>
      <c r="G106" s="137">
        <f>IF(G10&gt;0,1,0)*G12*G68</f>
        <v>0</v>
      </c>
      <c r="H106" s="137">
        <f>H12*H68</f>
        <v>0</v>
      </c>
      <c r="I106" s="137">
        <f>I12*I68</f>
        <v>0</v>
      </c>
      <c r="J106" s="137">
        <f>J12*J68</f>
        <v>0</v>
      </c>
      <c r="K106" s="138">
        <f>K12*K68</f>
        <v>0</v>
      </c>
    </row>
    <row r="107" spans="1:11" ht="21.75" customHeight="1" thickBot="1">
      <c r="A107"/>
      <c r="B107" s="495"/>
      <c r="C107" s="497" t="s">
        <v>80</v>
      </c>
      <c r="D107" s="497"/>
      <c r="E107" s="497"/>
      <c r="F107" s="497"/>
      <c r="G107" s="139">
        <f>IF(G106-$C$7&gt;0,G106-$C$7,0)</f>
        <v>0</v>
      </c>
      <c r="H107" s="139">
        <f>IF(H106-$C$7&gt;0,H106-$C$7,0)</f>
        <v>0</v>
      </c>
      <c r="I107" s="139">
        <f>IF(I106-$C$7&gt;0,I106-$C$7,0)</f>
        <v>0</v>
      </c>
      <c r="J107" s="139">
        <f>IF(J106-$C$7&gt;0,J106-$C$7,0)</f>
        <v>0</v>
      </c>
      <c r="K107" s="140">
        <f>IF(K106-$C$7&gt;0,K106-$C$7,0)</f>
        <v>0</v>
      </c>
    </row>
    <row r="108" spans="1:11" ht="21.75" customHeight="1" thickTop="1">
      <c r="A108"/>
      <c r="B108" s="495"/>
      <c r="C108" s="498" t="s">
        <v>81</v>
      </c>
      <c r="D108" s="498"/>
      <c r="E108" s="498"/>
      <c r="F108" s="498"/>
      <c r="G108" s="141">
        <f>G107*$E$3</f>
        <v>0</v>
      </c>
      <c r="H108" s="141">
        <f>H107*$E$3</f>
        <v>0</v>
      </c>
      <c r="I108" s="141">
        <f>I107*$E$3</f>
        <v>0</v>
      </c>
      <c r="J108" s="141">
        <f>J107*$E$3</f>
        <v>0</v>
      </c>
      <c r="K108" s="142">
        <f>K107*$E$3</f>
        <v>0</v>
      </c>
    </row>
    <row r="109" spans="1:11" ht="21.75" customHeight="1" thickBot="1">
      <c r="A109"/>
      <c r="B109" s="489" t="s">
        <v>19</v>
      </c>
      <c r="C109" s="489"/>
      <c r="D109" s="489"/>
      <c r="E109" s="489"/>
      <c r="F109" s="489"/>
      <c r="G109" s="215">
        <f>IF(試算シート!AB59=TRUE,G12*$E$4*$K$79*0.5,G12*$E$4*$K$79)</f>
        <v>0</v>
      </c>
      <c r="H109" s="215">
        <f>IF(試算シート!AB60=TRUE,H12*$E$4*$K$79*0.5,H12*$E$4*$K$79)</f>
        <v>0</v>
      </c>
      <c r="I109" s="215">
        <f>IF(試算シート!AB61=TRUE,I12*$E$4*$K$79*0.5,I12*$E$4*$K$79)</f>
        <v>0</v>
      </c>
      <c r="J109" s="215">
        <f>IF(試算シート!AB62=TRUE,J12*$E$4*$K$79*0.5,J12*$E$4*$K$79)</f>
        <v>0</v>
      </c>
      <c r="K109" s="216">
        <f>IF(試算シート!AB63=TRUE,K12*$E$4*$K$79*0.5,K12*$E$4*$K$79)</f>
        <v>0</v>
      </c>
    </row>
    <row r="110" spans="1:11" ht="21.75" customHeight="1" thickTop="1" thickBot="1">
      <c r="A110"/>
      <c r="B110" s="490" t="s">
        <v>8</v>
      </c>
      <c r="C110" s="490"/>
      <c r="D110" s="490"/>
      <c r="E110" s="490"/>
      <c r="F110" s="490"/>
      <c r="G110" s="144">
        <f>SUM(G108:G109)</f>
        <v>0</v>
      </c>
      <c r="H110" s="144">
        <f>SUM(H108:H109)</f>
        <v>0</v>
      </c>
      <c r="I110" s="144">
        <f>SUM(I108:I109)</f>
        <v>0</v>
      </c>
      <c r="J110" s="144">
        <f>SUM(J108:J109)</f>
        <v>0</v>
      </c>
      <c r="K110" s="145">
        <f>SUM(K108:K109)</f>
        <v>0</v>
      </c>
    </row>
    <row r="111" spans="1:11" ht="21.75" customHeight="1">
      <c r="A111"/>
      <c r="B111" s="491" t="s">
        <v>83</v>
      </c>
      <c r="C111" s="491"/>
      <c r="D111" s="491"/>
      <c r="E111" s="491"/>
      <c r="F111" s="491"/>
      <c r="G111" s="492">
        <f>SUM(G110:K110)</f>
        <v>0</v>
      </c>
      <c r="H111" s="492"/>
      <c r="I111" s="492"/>
      <c r="J111" s="492"/>
      <c r="K111" s="492"/>
    </row>
    <row r="112" spans="1:11" ht="21.75" customHeight="1">
      <c r="A112"/>
      <c r="B112" s="493" t="s">
        <v>84</v>
      </c>
      <c r="C112" s="493"/>
      <c r="D112" s="493"/>
      <c r="E112" s="493"/>
      <c r="F112" s="493"/>
      <c r="G112" s="492">
        <f>ROUNDDOWN(G111,-2)</f>
        <v>0</v>
      </c>
      <c r="H112" s="492"/>
      <c r="I112" s="492"/>
      <c r="J112" s="492"/>
      <c r="K112" s="492"/>
    </row>
    <row r="113" spans="1:14" ht="21.75" customHeight="1" thickBot="1">
      <c r="A113"/>
      <c r="B113" s="485" t="s">
        <v>85</v>
      </c>
      <c r="C113" s="485"/>
      <c r="D113" s="485"/>
      <c r="E113" s="485"/>
      <c r="F113" s="485"/>
      <c r="G113" s="486">
        <f>IF(G112&gt;E5,G112-E5,0)</f>
        <v>0</v>
      </c>
      <c r="H113" s="486"/>
      <c r="I113" s="486"/>
      <c r="J113" s="486"/>
      <c r="K113" s="486"/>
    </row>
    <row r="114" spans="1:14" ht="21.75" customHeight="1" thickBot="1">
      <c r="A114"/>
      <c r="B114" s="487" t="s">
        <v>86</v>
      </c>
      <c r="C114" s="487"/>
      <c r="D114" s="487"/>
      <c r="E114" s="487"/>
      <c r="F114" s="487"/>
      <c r="G114" s="488">
        <f>IF(G112&gt;E5,E5,G112)</f>
        <v>0</v>
      </c>
      <c r="H114" s="488"/>
      <c r="I114" s="488"/>
      <c r="J114" s="488"/>
      <c r="K114" s="488"/>
    </row>
    <row r="115" spans="1:14" ht="21.75" customHeight="1" thickBot="1">
      <c r="A115"/>
      <c r="B115" s="271"/>
      <c r="C115" s="271"/>
      <c r="D115" s="271"/>
      <c r="E115" s="271"/>
      <c r="F115" s="271"/>
      <c r="G115" s="272"/>
      <c r="H115" s="272"/>
      <c r="I115" s="272"/>
      <c r="J115" s="272"/>
      <c r="K115" s="272"/>
    </row>
    <row r="116" spans="1:14" ht="21.75" customHeight="1" thickBot="1">
      <c r="A116" s="275" t="s">
        <v>147</v>
      </c>
      <c r="B116" s="12" t="s">
        <v>76</v>
      </c>
      <c r="C116" s="494" t="s">
        <v>77</v>
      </c>
      <c r="D116" s="494"/>
      <c r="E116" s="494"/>
      <c r="F116" s="494"/>
      <c r="G116" s="135" t="s">
        <v>1</v>
      </c>
      <c r="H116" s="252" t="s">
        <v>2</v>
      </c>
      <c r="I116" s="252" t="s">
        <v>3</v>
      </c>
      <c r="J116" s="252" t="s">
        <v>4</v>
      </c>
      <c r="K116" s="136" t="s">
        <v>5</v>
      </c>
      <c r="M116" s="273"/>
      <c r="N116" s="273"/>
    </row>
    <row r="117" spans="1:14" ht="21.75" customHeight="1" thickBot="1">
      <c r="A117"/>
      <c r="B117" s="495" t="s">
        <v>78</v>
      </c>
      <c r="C117" s="496" t="s">
        <v>79</v>
      </c>
      <c r="D117" s="496"/>
      <c r="E117" s="496"/>
      <c r="F117" s="496"/>
      <c r="G117" s="137">
        <f>IF(G10&gt;0,1,0)*G11*G68</f>
        <v>0</v>
      </c>
      <c r="H117" s="137">
        <f>H11*H68</f>
        <v>0</v>
      </c>
      <c r="I117" s="137">
        <f>I11*I68</f>
        <v>0</v>
      </c>
      <c r="J117" s="137">
        <f>J11*J68</f>
        <v>0</v>
      </c>
      <c r="K117" s="138">
        <f>K11*K68</f>
        <v>0</v>
      </c>
      <c r="M117" s="273"/>
      <c r="N117" s="273"/>
    </row>
    <row r="118" spans="1:14" ht="21.75" customHeight="1" thickBot="1">
      <c r="A118"/>
      <c r="B118" s="495"/>
      <c r="C118" s="497" t="s">
        <v>80</v>
      </c>
      <c r="D118" s="497"/>
      <c r="E118" s="497"/>
      <c r="F118" s="497"/>
      <c r="G118" s="139">
        <f>IF(G117-$C$7&gt;0,G117-$C$7,0)</f>
        <v>0</v>
      </c>
      <c r="H118" s="139">
        <f>IF(H117-$C$7&gt;0,H117-$C$7,0)</f>
        <v>0</v>
      </c>
      <c r="I118" s="139">
        <f>IF(I117-$C$7&gt;0,I117-$C$7,0)</f>
        <v>0</v>
      </c>
      <c r="J118" s="139">
        <f>IF(J117-$C$7&gt;0,J117-$C$7,0)</f>
        <v>0</v>
      </c>
      <c r="K118" s="140">
        <f>IF(K117-$C$7&gt;0,K117-$C$7,0)</f>
        <v>0</v>
      </c>
      <c r="M118" s="273"/>
      <c r="N118" s="273"/>
    </row>
    <row r="119" spans="1:14" ht="21.75" customHeight="1" thickTop="1">
      <c r="A119"/>
      <c r="B119" s="495"/>
      <c r="C119" s="498" t="s">
        <v>81</v>
      </c>
      <c r="D119" s="498"/>
      <c r="E119" s="498"/>
      <c r="F119" s="498"/>
      <c r="G119" s="141">
        <f>G118*$F$3</f>
        <v>0</v>
      </c>
      <c r="H119" s="141">
        <f>H118*$F$3</f>
        <v>0</v>
      </c>
      <c r="I119" s="141">
        <f>I118*$F$3</f>
        <v>0</v>
      </c>
      <c r="J119" s="141">
        <f>J118*$F$3</f>
        <v>0</v>
      </c>
      <c r="K119" s="142">
        <f>K118*$F$3</f>
        <v>0</v>
      </c>
      <c r="M119" s="273"/>
      <c r="N119" s="273"/>
    </row>
    <row r="120" spans="1:14" ht="21.75" customHeight="1" thickBot="1">
      <c r="A120"/>
      <c r="B120" s="489" t="s">
        <v>19</v>
      </c>
      <c r="C120" s="489"/>
      <c r="D120" s="489"/>
      <c r="E120" s="489"/>
      <c r="F120" s="489"/>
      <c r="G120" s="215">
        <f>IF(G11=0,0,IF(AND(G11=1,G10&lt;18),0,$F$4*$K$79))</f>
        <v>0</v>
      </c>
      <c r="H120" s="215">
        <f t="shared" ref="H120:K120" si="5">IF(H11=0,0,IF(AND(H11=1,H10&lt;18),0,$F$4*$K$79))</f>
        <v>0</v>
      </c>
      <c r="I120" s="215">
        <f t="shared" si="5"/>
        <v>0</v>
      </c>
      <c r="J120" s="215">
        <f t="shared" si="5"/>
        <v>0</v>
      </c>
      <c r="K120" s="215">
        <f t="shared" si="5"/>
        <v>0</v>
      </c>
      <c r="M120" s="273"/>
      <c r="N120" s="273"/>
    </row>
    <row r="121" spans="1:14" ht="21.75" customHeight="1" thickTop="1" thickBot="1">
      <c r="A121"/>
      <c r="B121" s="490" t="s">
        <v>8</v>
      </c>
      <c r="C121" s="490"/>
      <c r="D121" s="490"/>
      <c r="E121" s="490"/>
      <c r="F121" s="490"/>
      <c r="G121" s="144">
        <f>SUM(G119:G120)</f>
        <v>0</v>
      </c>
      <c r="H121" s="144">
        <f>SUM(H119:H120)</f>
        <v>0</v>
      </c>
      <c r="I121" s="144">
        <f>SUM(I119:I120)</f>
        <v>0</v>
      </c>
      <c r="J121" s="144">
        <f>SUM(J119:J120)</f>
        <v>0</v>
      </c>
      <c r="K121" s="145">
        <f>SUM(K119:K120)</f>
        <v>0</v>
      </c>
      <c r="M121" s="273"/>
      <c r="N121" s="273"/>
    </row>
    <row r="122" spans="1:14" ht="21.75" customHeight="1">
      <c r="A122"/>
      <c r="B122" s="491" t="s">
        <v>83</v>
      </c>
      <c r="C122" s="491"/>
      <c r="D122" s="491"/>
      <c r="E122" s="491"/>
      <c r="F122" s="491"/>
      <c r="G122" s="492">
        <f>SUM(G121:K121)</f>
        <v>0</v>
      </c>
      <c r="H122" s="492"/>
      <c r="I122" s="492"/>
      <c r="J122" s="492"/>
      <c r="K122" s="492"/>
      <c r="M122" s="274"/>
      <c r="N122" s="273"/>
    </row>
    <row r="123" spans="1:14" ht="21.75" customHeight="1">
      <c r="A123"/>
      <c r="B123" s="493" t="s">
        <v>84</v>
      </c>
      <c r="C123" s="493"/>
      <c r="D123" s="493"/>
      <c r="E123" s="493"/>
      <c r="F123" s="493"/>
      <c r="G123" s="492">
        <f>ROUNDDOWN(G122,-2)</f>
        <v>0</v>
      </c>
      <c r="H123" s="492"/>
      <c r="I123" s="492"/>
      <c r="J123" s="492"/>
      <c r="K123" s="492"/>
      <c r="M123" s="274"/>
      <c r="N123" s="273"/>
    </row>
    <row r="124" spans="1:14" ht="21.75" customHeight="1" thickBot="1">
      <c r="A124"/>
      <c r="B124" s="485" t="s">
        <v>85</v>
      </c>
      <c r="C124" s="485"/>
      <c r="D124" s="485"/>
      <c r="E124" s="485"/>
      <c r="F124" s="485"/>
      <c r="G124" s="486">
        <f>IF(G123&gt;F5,G123-F5,0)</f>
        <v>0</v>
      </c>
      <c r="H124" s="486"/>
      <c r="I124" s="486"/>
      <c r="J124" s="486"/>
      <c r="K124" s="486"/>
      <c r="M124" s="274"/>
      <c r="N124" s="273"/>
    </row>
    <row r="125" spans="1:14" ht="21.75" customHeight="1" thickBot="1">
      <c r="A125"/>
      <c r="B125" s="487" t="s">
        <v>86</v>
      </c>
      <c r="C125" s="487"/>
      <c r="D125" s="487"/>
      <c r="E125" s="487"/>
      <c r="F125" s="487"/>
      <c r="G125" s="488">
        <f>IF(G123&gt;F5,F5,G123)</f>
        <v>0</v>
      </c>
      <c r="H125" s="488"/>
      <c r="I125" s="488"/>
      <c r="J125" s="488"/>
      <c r="K125" s="488"/>
      <c r="M125" s="274"/>
      <c r="N125" s="273"/>
    </row>
    <row r="126" spans="1:14" ht="21.75" customHeight="1">
      <c r="A126"/>
      <c r="B126" s="271"/>
      <c r="C126" s="271"/>
      <c r="D126" s="271"/>
      <c r="E126" s="271"/>
      <c r="F126" s="271"/>
      <c r="G126" s="272"/>
      <c r="H126" s="272"/>
      <c r="I126" s="272"/>
      <c r="J126" s="272"/>
      <c r="K126" s="272"/>
    </row>
    <row r="127" spans="1:14" ht="21.75" customHeight="1" thickBot="1">
      <c r="A127"/>
      <c r="B127"/>
      <c r="C127"/>
      <c r="D127"/>
      <c r="E127"/>
      <c r="F127"/>
      <c r="G127"/>
      <c r="H127"/>
      <c r="I127"/>
      <c r="J127"/>
      <c r="K127"/>
    </row>
    <row r="128" spans="1:14" ht="21.75" customHeight="1" thickBot="1">
      <c r="A128" s="7" t="s">
        <v>87</v>
      </c>
      <c r="B128" s="12" t="s">
        <v>76</v>
      </c>
      <c r="C128" s="494" t="s">
        <v>77</v>
      </c>
      <c r="D128" s="494"/>
      <c r="E128" s="494"/>
      <c r="F128" s="494"/>
      <c r="G128" s="135" t="s">
        <v>1</v>
      </c>
      <c r="H128" s="2" t="s">
        <v>2</v>
      </c>
      <c r="I128" s="2" t="s">
        <v>3</v>
      </c>
      <c r="J128" s="2" t="s">
        <v>4</v>
      </c>
      <c r="K128" s="136" t="s">
        <v>5</v>
      </c>
    </row>
    <row r="129" spans="2:11" ht="21.75" customHeight="1">
      <c r="B129" s="495" t="s">
        <v>78</v>
      </c>
      <c r="C129" s="495"/>
      <c r="D129" s="495"/>
      <c r="E129" s="495"/>
      <c r="F129" s="495"/>
      <c r="G129" s="137">
        <f>G86+G97+G108+G119</f>
        <v>0</v>
      </c>
      <c r="H129" s="137">
        <f t="shared" ref="H129:K129" si="6">H86+H97+H108+H119</f>
        <v>0</v>
      </c>
      <c r="I129" s="137">
        <f t="shared" si="6"/>
        <v>0</v>
      </c>
      <c r="J129" s="137">
        <f t="shared" si="6"/>
        <v>0</v>
      </c>
      <c r="K129" s="137">
        <f t="shared" si="6"/>
        <v>0</v>
      </c>
    </row>
    <row r="130" spans="2:11" ht="21.75" customHeight="1" thickBot="1">
      <c r="B130" s="489" t="s">
        <v>19</v>
      </c>
      <c r="C130" s="489"/>
      <c r="D130" s="489"/>
      <c r="E130" s="489"/>
      <c r="F130" s="489"/>
      <c r="G130" s="143">
        <f>G87+G98+G109+G120</f>
        <v>0</v>
      </c>
      <c r="H130" s="143">
        <f t="shared" ref="H130:K130" si="7">H87+H98+H109+H120</f>
        <v>0</v>
      </c>
      <c r="I130" s="143">
        <f t="shared" si="7"/>
        <v>0</v>
      </c>
      <c r="J130" s="143">
        <f t="shared" si="7"/>
        <v>0</v>
      </c>
      <c r="K130" s="143">
        <f t="shared" si="7"/>
        <v>0</v>
      </c>
    </row>
    <row r="131" spans="2:11" ht="21.75" customHeight="1" thickTop="1" thickBot="1">
      <c r="B131" s="490" t="s">
        <v>8</v>
      </c>
      <c r="C131" s="490"/>
      <c r="D131" s="490"/>
      <c r="E131" s="490"/>
      <c r="F131" s="490"/>
      <c r="G131" s="144">
        <f>SUM(G129:G130)</f>
        <v>0</v>
      </c>
      <c r="H131" s="144">
        <f>SUM(H129:H130)</f>
        <v>0</v>
      </c>
      <c r="I131" s="144">
        <f>SUM(I129:I130)</f>
        <v>0</v>
      </c>
      <c r="J131" s="144">
        <f>SUM(J129:J130)</f>
        <v>0</v>
      </c>
      <c r="K131" s="145">
        <f>SUM(K129:K130)</f>
        <v>0</v>
      </c>
    </row>
    <row r="132" spans="2:11" ht="21.75" customHeight="1">
      <c r="B132" s="493" t="s">
        <v>84</v>
      </c>
      <c r="C132" s="493"/>
      <c r="D132" s="493"/>
      <c r="E132" s="493"/>
      <c r="F132" s="493"/>
      <c r="G132" s="492">
        <f>G90+G101+G112+G123</f>
        <v>0</v>
      </c>
      <c r="H132" s="492"/>
      <c r="I132" s="492"/>
      <c r="J132" s="492"/>
      <c r="K132" s="492"/>
    </row>
    <row r="133" spans="2:11" ht="21.75" customHeight="1" thickBot="1">
      <c r="B133" s="485" t="s">
        <v>85</v>
      </c>
      <c r="C133" s="485"/>
      <c r="D133" s="485"/>
      <c r="E133" s="485"/>
      <c r="F133" s="485"/>
      <c r="G133" s="486">
        <f>G91+G102+G113+G124</f>
        <v>0</v>
      </c>
      <c r="H133" s="486"/>
      <c r="I133" s="486"/>
      <c r="J133" s="486"/>
      <c r="K133" s="486"/>
    </row>
    <row r="134" spans="2:11" ht="21.75" customHeight="1" thickBot="1">
      <c r="B134" s="487" t="s">
        <v>86</v>
      </c>
      <c r="C134" s="487"/>
      <c r="D134" s="487"/>
      <c r="E134" s="487"/>
      <c r="F134" s="487"/>
      <c r="G134" s="488">
        <f>G92+G103+G114+G125</f>
        <v>0</v>
      </c>
      <c r="H134" s="488"/>
      <c r="I134" s="488"/>
      <c r="J134" s="488"/>
      <c r="K134" s="488"/>
    </row>
  </sheetData>
  <sheetProtection algorithmName="SHA-512" hashValue="Sn0dEnPKeNNc8FfZ+omcllgWqtMQFebrn2vl7IF4fsDnTcft4oEK0a+1oufJX3AhYmqGMn26uuqk5mNzNkPi3g==" saltValue="SwQtm/wScts1tkqLqN9O2g==" spinCount="100000" sheet="1" selectLockedCells="1" selectUnlockedCells="1"/>
  <mergeCells count="93">
    <mergeCell ref="B1:D1"/>
    <mergeCell ref="H1:J1"/>
    <mergeCell ref="A15:B15"/>
    <mergeCell ref="D18:F18"/>
    <mergeCell ref="G18:K18"/>
    <mergeCell ref="A28:B28"/>
    <mergeCell ref="A33:B33"/>
    <mergeCell ref="C34:E34"/>
    <mergeCell ref="C35:E35"/>
    <mergeCell ref="D20:F20"/>
    <mergeCell ref="B41:C41"/>
    <mergeCell ref="D42:F42"/>
    <mergeCell ref="G42:K42"/>
    <mergeCell ref="A43:A50"/>
    <mergeCell ref="A51:A58"/>
    <mergeCell ref="C61:E61"/>
    <mergeCell ref="G72:K72"/>
    <mergeCell ref="G73:K73"/>
    <mergeCell ref="B76:C77"/>
    <mergeCell ref="J76:J77"/>
    <mergeCell ref="K76:K77"/>
    <mergeCell ref="C83:F83"/>
    <mergeCell ref="B84:B86"/>
    <mergeCell ref="C84:F84"/>
    <mergeCell ref="C85:F85"/>
    <mergeCell ref="C86:F86"/>
    <mergeCell ref="B87:F87"/>
    <mergeCell ref="B88:F88"/>
    <mergeCell ref="B89:F89"/>
    <mergeCell ref="G89:K89"/>
    <mergeCell ref="B90:F90"/>
    <mergeCell ref="G90:K90"/>
    <mergeCell ref="B91:F91"/>
    <mergeCell ref="G91:K91"/>
    <mergeCell ref="B92:F92"/>
    <mergeCell ref="G92:K92"/>
    <mergeCell ref="C94:F94"/>
    <mergeCell ref="B95:B97"/>
    <mergeCell ref="C95:F95"/>
    <mergeCell ref="C96:F96"/>
    <mergeCell ref="C97:F97"/>
    <mergeCell ref="B98:F98"/>
    <mergeCell ref="B99:F99"/>
    <mergeCell ref="B100:F100"/>
    <mergeCell ref="G100:K100"/>
    <mergeCell ref="B101:F101"/>
    <mergeCell ref="G101:K101"/>
    <mergeCell ref="B102:F102"/>
    <mergeCell ref="G102:K102"/>
    <mergeCell ref="B103:F103"/>
    <mergeCell ref="G103:K103"/>
    <mergeCell ref="C105:F105"/>
    <mergeCell ref="B111:F111"/>
    <mergeCell ref="G111:K111"/>
    <mergeCell ref="B112:F112"/>
    <mergeCell ref="G112:K112"/>
    <mergeCell ref="B106:B108"/>
    <mergeCell ref="C106:F106"/>
    <mergeCell ref="C107:F107"/>
    <mergeCell ref="C108:F108"/>
    <mergeCell ref="B109:F109"/>
    <mergeCell ref="Q1:Q4"/>
    <mergeCell ref="B129:F129"/>
    <mergeCell ref="B134:F134"/>
    <mergeCell ref="G134:K134"/>
    <mergeCell ref="B130:F130"/>
    <mergeCell ref="B131:F131"/>
    <mergeCell ref="B132:F132"/>
    <mergeCell ref="G132:K132"/>
    <mergeCell ref="B133:F133"/>
    <mergeCell ref="G133:K133"/>
    <mergeCell ref="B113:F113"/>
    <mergeCell ref="G113:K113"/>
    <mergeCell ref="B114:F114"/>
    <mergeCell ref="G114:K114"/>
    <mergeCell ref="C128:F128"/>
    <mergeCell ref="B110:F110"/>
    <mergeCell ref="D19:F19"/>
    <mergeCell ref="B124:F124"/>
    <mergeCell ref="G124:K124"/>
    <mergeCell ref="B125:F125"/>
    <mergeCell ref="G125:K125"/>
    <mergeCell ref="B120:F120"/>
    <mergeCell ref="B121:F121"/>
    <mergeCell ref="B122:F122"/>
    <mergeCell ref="G122:K122"/>
    <mergeCell ref="B123:F123"/>
    <mergeCell ref="G123:K123"/>
    <mergeCell ref="C116:F116"/>
    <mergeCell ref="B117:B119"/>
    <mergeCell ref="C117:F117"/>
    <mergeCell ref="C118:F118"/>
    <mergeCell ref="C119:F119"/>
  </mergeCells>
  <phoneticPr fontId="16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試算シート</vt:lpstr>
      <vt:lpstr>税額計算</vt:lpstr>
      <vt:lpstr>試算シート!Print_Area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KSD174</dc:creator>
  <cp:keywords/>
  <dc:description/>
  <cp:lastModifiedBy>KSD282</cp:lastModifiedBy>
  <cp:revision>0</cp:revision>
  <cp:lastPrinted>2026-03-18T00:36:23Z</cp:lastPrinted>
  <dcterms:created xsi:type="dcterms:W3CDTF">1997-01-08T22:48:59Z</dcterms:created>
  <dcterms:modified xsi:type="dcterms:W3CDTF">2026-03-18T00:44:01Z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